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8250" activeTab="1"/>
  </bookViews>
  <sheets>
    <sheet name="Тит" sheetId="3" r:id="rId1"/>
    <sheet name="раздел 1" sheetId="1" r:id="rId2"/>
    <sheet name="раздел 2" sheetId="2" r:id="rId3"/>
    <sheet name="211" sheetId="4" r:id="rId4"/>
    <sheet name="212" sheetId="5" r:id="rId5"/>
    <sheet name="213" sheetId="6" r:id="rId6"/>
    <sheet name="221" sheetId="7" r:id="rId7"/>
    <sheet name="222" sheetId="8" r:id="rId8"/>
    <sheet name="223" sheetId="9" r:id="rId9"/>
    <sheet name="225" sheetId="10" r:id="rId10"/>
    <sheet name="226" sheetId="11" r:id="rId11"/>
    <sheet name="290" sheetId="12" r:id="rId12"/>
    <sheet name="310" sheetId="13" r:id="rId13"/>
    <sheet name="112" sheetId="14" r:id="rId14"/>
    <sheet name="340" sheetId="15" r:id="rId15"/>
    <sheet name="7566" sheetId="16" r:id="rId16"/>
    <sheet name="214" sheetId="17" r:id="rId17"/>
    <sheet name="0210080010" sheetId="18" r:id="rId18"/>
    <sheet name="0240188021" sheetId="19" r:id="rId19"/>
    <sheet name="151690" sheetId="20" r:id="rId20"/>
    <sheet name="262" sheetId="21" r:id="rId21"/>
    <sheet name="80140" sheetId="22" r:id="rId22"/>
  </sheets>
  <definedNames>
    <definedName name="_xlnm.Print_Area" localSheetId="9">'225'!$A$1:$K$48</definedName>
  </definedNames>
  <calcPr calcId="144525"/>
</workbook>
</file>

<file path=xl/calcChain.xml><?xml version="1.0" encoding="utf-8"?>
<calcChain xmlns="http://schemas.openxmlformats.org/spreadsheetml/2006/main">
  <c r="D62" i="1" l="1"/>
  <c r="D39" i="1" l="1"/>
  <c r="D35" i="1"/>
  <c r="D23" i="1"/>
  <c r="D14" i="1"/>
  <c r="G57" i="4"/>
  <c r="H57" i="4" s="1"/>
  <c r="F54" i="11"/>
  <c r="I22" i="8"/>
  <c r="H16" i="22"/>
  <c r="H17" i="22"/>
  <c r="G17" i="22"/>
  <c r="F9" i="10" l="1"/>
  <c r="I9" i="10" s="1"/>
  <c r="E122" i="4"/>
  <c r="E123" i="4" s="1"/>
  <c r="E121" i="4"/>
  <c r="D36" i="10"/>
  <c r="F8" i="10"/>
  <c r="B107" i="4" l="1"/>
  <c r="E106" i="4"/>
  <c r="E107" i="4" s="1"/>
  <c r="D107" i="4"/>
  <c r="I8" i="10"/>
  <c r="H62" i="1"/>
  <c r="F62" i="1"/>
  <c r="F48" i="11"/>
  <c r="I59" i="11"/>
  <c r="H58" i="11"/>
  <c r="K58" i="11" s="1"/>
  <c r="H54" i="11"/>
  <c r="G54" i="11"/>
  <c r="J58" i="11"/>
  <c r="I58" i="11"/>
  <c r="J57" i="11"/>
  <c r="K57" i="11"/>
  <c r="I57" i="11"/>
  <c r="J56" i="11"/>
  <c r="K56" i="11"/>
  <c r="I56" i="11"/>
  <c r="I55" i="11"/>
  <c r="E36" i="10"/>
  <c r="F106" i="4" l="1"/>
  <c r="G106" i="4" s="1"/>
  <c r="D37" i="4"/>
  <c r="E35" i="13"/>
  <c r="E34" i="13"/>
  <c r="H106" i="4" l="1"/>
  <c r="I106" i="4" s="1"/>
  <c r="G107" i="4"/>
  <c r="F107" i="4"/>
  <c r="E36" i="13"/>
  <c r="H107" i="4" l="1"/>
  <c r="I107" i="4" s="1"/>
  <c r="H14" i="1"/>
  <c r="F14" i="1"/>
  <c r="I40" i="20" l="1"/>
  <c r="I26" i="20"/>
  <c r="I27" i="20" s="1"/>
  <c r="I10" i="20"/>
  <c r="J55" i="11" l="1"/>
  <c r="K55" i="11" s="1"/>
  <c r="I48" i="11"/>
  <c r="I54" i="11"/>
  <c r="F7" i="19"/>
  <c r="F6" i="19"/>
  <c r="F5" i="19"/>
  <c r="C70" i="6"/>
  <c r="F8" i="19" l="1"/>
  <c r="C90" i="6"/>
  <c r="C10" i="6"/>
  <c r="F94" i="4"/>
  <c r="J70" i="17"/>
  <c r="I69" i="17"/>
  <c r="J32" i="17"/>
  <c r="J34" i="17" s="1"/>
  <c r="I33" i="17"/>
  <c r="I31" i="17"/>
  <c r="J55" i="17"/>
  <c r="J15" i="17"/>
  <c r="E32" i="1" l="1"/>
  <c r="E8" i="1"/>
  <c r="G8" i="1" l="1"/>
  <c r="H39" i="1"/>
  <c r="F39" i="1"/>
  <c r="H35" i="1"/>
  <c r="F35" i="1"/>
  <c r="H13" i="1"/>
  <c r="F13" i="1"/>
  <c r="D13" i="1"/>
  <c r="F36" i="4" l="1"/>
  <c r="G36" i="4" s="1"/>
  <c r="B44" i="4"/>
  <c r="F40" i="4"/>
  <c r="G40" i="4" s="1"/>
  <c r="F41" i="4"/>
  <c r="G41" i="4" s="1"/>
  <c r="F42" i="4"/>
  <c r="G42" i="4" s="1"/>
  <c r="F43" i="4"/>
  <c r="G43" i="4" s="1"/>
  <c r="E40" i="4"/>
  <c r="E41" i="4"/>
  <c r="E42" i="4"/>
  <c r="E43" i="4"/>
  <c r="D44" i="4" l="1"/>
  <c r="H40" i="4"/>
  <c r="I40" i="4" s="1"/>
  <c r="H43" i="4"/>
  <c r="I43" i="4" s="1"/>
  <c r="H42" i="4"/>
  <c r="I42" i="4" s="1"/>
  <c r="H41" i="4"/>
  <c r="I41" i="4" s="1"/>
  <c r="E71" i="4"/>
  <c r="B74" i="4"/>
  <c r="D74" i="4"/>
  <c r="F73" i="4"/>
  <c r="E73" i="4"/>
  <c r="F72" i="4"/>
  <c r="G72" i="4" s="1"/>
  <c r="H72" i="4" s="1"/>
  <c r="I72" i="4" s="1"/>
  <c r="E72" i="4"/>
  <c r="F71" i="4"/>
  <c r="G71" i="4" s="1"/>
  <c r="D58" i="4"/>
  <c r="B58" i="4"/>
  <c r="E57" i="4"/>
  <c r="E93" i="6"/>
  <c r="D93" i="6"/>
  <c r="C93" i="6"/>
  <c r="E73" i="6"/>
  <c r="D73" i="6"/>
  <c r="C73" i="6"/>
  <c r="F124" i="5"/>
  <c r="F123" i="5"/>
  <c r="F122" i="5"/>
  <c r="F111" i="5"/>
  <c r="F110" i="5"/>
  <c r="F91" i="5"/>
  <c r="F90" i="5"/>
  <c r="F78" i="5"/>
  <c r="F79" i="5" s="1"/>
  <c r="D105" i="11"/>
  <c r="F125" i="5" l="1"/>
  <c r="G73" i="4"/>
  <c r="G74" i="4" s="1"/>
  <c r="F58" i="4"/>
  <c r="F74" i="4"/>
  <c r="F112" i="5"/>
  <c r="F92" i="5"/>
  <c r="H73" i="4" l="1"/>
  <c r="I73" i="4" s="1"/>
  <c r="H71" i="4"/>
  <c r="I71" i="4" s="1"/>
  <c r="G58" i="4"/>
  <c r="H58" i="4" s="1"/>
  <c r="I57" i="4"/>
  <c r="H74" i="4" l="1"/>
  <c r="I74" i="4" s="1"/>
  <c r="I58" i="4"/>
  <c r="D108" i="11" l="1"/>
  <c r="D107" i="11"/>
  <c r="D104" i="11"/>
  <c r="D94" i="11"/>
  <c r="D76" i="11"/>
  <c r="F9" i="16"/>
  <c r="L55" i="7"/>
  <c r="F141" i="15"/>
  <c r="F140" i="15"/>
  <c r="F139" i="15"/>
  <c r="F138" i="15"/>
  <c r="F137" i="15"/>
  <c r="F136" i="15"/>
  <c r="E28" i="13"/>
  <c r="E29" i="13" s="1"/>
  <c r="F128" i="15"/>
  <c r="F127" i="15"/>
  <c r="F126" i="15"/>
  <c r="F125" i="15"/>
  <c r="E17" i="13"/>
  <c r="E18" i="13" s="1"/>
  <c r="F114" i="15"/>
  <c r="F113" i="15"/>
  <c r="F112" i="15"/>
  <c r="F111" i="15"/>
  <c r="F110" i="15"/>
  <c r="D109" i="11" l="1"/>
  <c r="F142" i="15"/>
  <c r="F129" i="15"/>
  <c r="F115" i="15"/>
  <c r="E99" i="15" l="1"/>
  <c r="E98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E100" i="15" l="1"/>
  <c r="F90" i="15"/>
  <c r="E39" i="10" l="1"/>
  <c r="F58" i="15" l="1"/>
  <c r="F57" i="15"/>
  <c r="F56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4" i="15"/>
  <c r="F33" i="15"/>
  <c r="F32" i="15"/>
  <c r="F31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A6" i="15"/>
  <c r="F5" i="15"/>
  <c r="F35" i="15" l="1"/>
  <c r="F59" i="15"/>
  <c r="F54" i="15"/>
  <c r="F29" i="15"/>
  <c r="F60" i="15" l="1"/>
  <c r="E8" i="13"/>
  <c r="E7" i="13"/>
  <c r="E9" i="13" s="1"/>
  <c r="B12" i="4" l="1"/>
  <c r="E11" i="4"/>
  <c r="F11" i="4" s="1"/>
  <c r="E10" i="4"/>
  <c r="F10" i="4" s="1"/>
  <c r="G10" i="4" s="1"/>
  <c r="D9" i="4"/>
  <c r="E9" i="4"/>
  <c r="F9" i="4" s="1"/>
  <c r="E8" i="4"/>
  <c r="F8" i="4" s="1"/>
  <c r="G8" i="4" s="1"/>
  <c r="D8" i="4"/>
  <c r="D7" i="4"/>
  <c r="D6" i="4"/>
  <c r="D5" i="4"/>
  <c r="E4" i="4"/>
  <c r="F4" i="4" s="1"/>
  <c r="D4" i="4"/>
  <c r="E6" i="4" l="1"/>
  <c r="F6" i="4" s="1"/>
  <c r="G6" i="4" s="1"/>
  <c r="H6" i="4" s="1"/>
  <c r="D10" i="4"/>
  <c r="D11" i="4"/>
  <c r="G4" i="4"/>
  <c r="H4" i="4" s="1"/>
  <c r="G11" i="4"/>
  <c r="H11" i="4" s="1"/>
  <c r="G9" i="4"/>
  <c r="H9" i="4" s="1"/>
  <c r="E5" i="4"/>
  <c r="F5" i="4" s="1"/>
  <c r="E7" i="4"/>
  <c r="F7" i="4" s="1"/>
  <c r="H8" i="4"/>
  <c r="H10" i="4"/>
  <c r="C12" i="4"/>
  <c r="E12" i="4" l="1"/>
  <c r="G7" i="4"/>
  <c r="H7" i="4" s="1"/>
  <c r="G5" i="4"/>
  <c r="H5" i="4" s="1"/>
  <c r="F12" i="4"/>
  <c r="G12" i="4" l="1"/>
  <c r="H12" i="4" s="1"/>
  <c r="N7" i="14" l="1"/>
  <c r="N8" i="14" s="1"/>
  <c r="M7" i="14"/>
  <c r="M8" i="14" s="1"/>
  <c r="L7" i="14"/>
  <c r="L8" i="14" s="1"/>
  <c r="F29" i="12"/>
  <c r="F30" i="12" s="1"/>
  <c r="J9" i="12"/>
  <c r="J10" i="12" s="1"/>
  <c r="K54" i="11"/>
  <c r="K53" i="11"/>
  <c r="J53" i="11"/>
  <c r="I53" i="11"/>
  <c r="K52" i="11"/>
  <c r="J52" i="11"/>
  <c r="K51" i="11"/>
  <c r="J51" i="11"/>
  <c r="I51" i="11"/>
  <c r="K50" i="11"/>
  <c r="J50" i="11"/>
  <c r="I50" i="11"/>
  <c r="K49" i="11"/>
  <c r="J49" i="11"/>
  <c r="I49" i="11"/>
  <c r="K48" i="11"/>
  <c r="J48" i="11"/>
  <c r="K47" i="11"/>
  <c r="J47" i="11"/>
  <c r="I47" i="11"/>
  <c r="I60" i="11" s="1"/>
  <c r="K46" i="11"/>
  <c r="J46" i="11"/>
  <c r="K28" i="11"/>
  <c r="J28" i="11"/>
  <c r="I28" i="11"/>
  <c r="I31" i="11" s="1"/>
  <c r="I10" i="11"/>
  <c r="I12" i="11" s="1"/>
  <c r="K9" i="11"/>
  <c r="J9" i="11"/>
  <c r="K8" i="11"/>
  <c r="J8" i="11"/>
  <c r="K7" i="11"/>
  <c r="J7" i="11"/>
  <c r="K17" i="10"/>
  <c r="J17" i="10"/>
  <c r="I15" i="10"/>
  <c r="I11" i="10"/>
  <c r="I17" i="10" s="1"/>
  <c r="I11" i="9"/>
  <c r="I10" i="9"/>
  <c r="K9" i="9"/>
  <c r="J9" i="9"/>
  <c r="I9" i="9"/>
  <c r="K8" i="9"/>
  <c r="J8" i="9"/>
  <c r="I8" i="9"/>
  <c r="K7" i="9"/>
  <c r="J7" i="9"/>
  <c r="I7" i="9"/>
  <c r="K35" i="8"/>
  <c r="K36" i="8" s="1"/>
  <c r="J35" i="8"/>
  <c r="J36" i="8" s="1"/>
  <c r="I35" i="8"/>
  <c r="I36" i="8" s="1"/>
  <c r="I23" i="8"/>
  <c r="K22" i="8"/>
  <c r="K23" i="8" s="1"/>
  <c r="J22" i="8"/>
  <c r="J23" i="8" s="1"/>
  <c r="K7" i="8"/>
  <c r="K8" i="8" s="1"/>
  <c r="J7" i="8"/>
  <c r="J8" i="8" s="1"/>
  <c r="I7" i="8"/>
  <c r="I8" i="8" s="1"/>
  <c r="L41" i="7"/>
  <c r="L25" i="7"/>
  <c r="L26" i="7" s="1"/>
  <c r="L9" i="7"/>
  <c r="L10" i="7" s="1"/>
  <c r="E53" i="6"/>
  <c r="D53" i="6"/>
  <c r="C53" i="6"/>
  <c r="E33" i="6"/>
  <c r="D33" i="6"/>
  <c r="C33" i="6"/>
  <c r="E13" i="6"/>
  <c r="D13" i="6"/>
  <c r="C13" i="6"/>
  <c r="N58" i="5"/>
  <c r="N59" i="5" s="1"/>
  <c r="M58" i="5"/>
  <c r="M59" i="5" s="1"/>
  <c r="L58" i="5"/>
  <c r="L59" i="5" s="1"/>
  <c r="N41" i="5"/>
  <c r="N42" i="5" s="1"/>
  <c r="M41" i="5"/>
  <c r="M42" i="5" s="1"/>
  <c r="L41" i="5"/>
  <c r="L42" i="5" s="1"/>
  <c r="L26" i="5"/>
  <c r="N25" i="5"/>
  <c r="N27" i="5" s="1"/>
  <c r="M25" i="5"/>
  <c r="M27" i="5" s="1"/>
  <c r="L25" i="5"/>
  <c r="L27" i="5" s="1"/>
  <c r="N8" i="5"/>
  <c r="N9" i="5" s="1"/>
  <c r="M8" i="5"/>
  <c r="M9" i="5" s="1"/>
  <c r="L8" i="5"/>
  <c r="L9" i="5" s="1"/>
  <c r="F39" i="4"/>
  <c r="G39" i="4" s="1"/>
  <c r="E39" i="4"/>
  <c r="F38" i="4"/>
  <c r="G38" i="4" s="1"/>
  <c r="E38" i="4"/>
  <c r="F37" i="4"/>
  <c r="E37" i="4"/>
  <c r="E36" i="4"/>
  <c r="D24" i="4"/>
  <c r="B24" i="4"/>
  <c r="F23" i="4"/>
  <c r="G23" i="4" s="1"/>
  <c r="E23" i="4"/>
  <c r="F22" i="4"/>
  <c r="G22" i="4" s="1"/>
  <c r="E22" i="4"/>
  <c r="F21" i="4"/>
  <c r="G21" i="4" s="1"/>
  <c r="E21" i="4"/>
  <c r="F20" i="4"/>
  <c r="G20" i="4" s="1"/>
  <c r="E20" i="4"/>
  <c r="G37" i="4" l="1"/>
  <c r="G44" i="4" s="1"/>
  <c r="J12" i="9"/>
  <c r="K12" i="9"/>
  <c r="K60" i="11"/>
  <c r="F24" i="4"/>
  <c r="H22" i="4"/>
  <c r="I22" i="4" s="1"/>
  <c r="J12" i="11"/>
  <c r="K12" i="11"/>
  <c r="I12" i="9"/>
  <c r="E44" i="4"/>
  <c r="F44" i="4"/>
  <c r="H38" i="4"/>
  <c r="I38" i="4" s="1"/>
  <c r="H21" i="4"/>
  <c r="I21" i="4" s="1"/>
  <c r="H23" i="4"/>
  <c r="I23" i="4" s="1"/>
  <c r="H39" i="4"/>
  <c r="I39" i="4" s="1"/>
  <c r="H36" i="4"/>
  <c r="I36" i="4" s="1"/>
  <c r="H37" i="4" l="1"/>
  <c r="I37" i="4" s="1"/>
  <c r="G24" i="4"/>
  <c r="H24" i="4" s="1"/>
  <c r="H20" i="4"/>
  <c r="I20" i="4" s="1"/>
  <c r="H44" i="4" l="1"/>
  <c r="I44" i="4" s="1"/>
  <c r="I24" i="4"/>
  <c r="D24" i="1" l="1"/>
  <c r="D8" i="1" l="1"/>
  <c r="I17" i="1"/>
  <c r="I8" i="1" s="1"/>
  <c r="H24" i="1" l="1"/>
  <c r="F24" i="1"/>
  <c r="H29" i="2" l="1"/>
  <c r="E9" i="2"/>
  <c r="D73" i="1" l="1"/>
  <c r="D32" i="1" s="1"/>
  <c r="H73" i="1"/>
  <c r="H32" i="1" s="1"/>
  <c r="F73" i="1"/>
  <c r="F32" i="1" s="1"/>
  <c r="F9" i="2" l="1"/>
  <c r="H50" i="1"/>
  <c r="F50" i="1"/>
  <c r="D50" i="1"/>
  <c r="G9" i="2" l="1"/>
  <c r="I32" i="1"/>
  <c r="G32" i="1"/>
  <c r="E25" i="2"/>
  <c r="E29" i="2" s="1"/>
  <c r="H8" i="1"/>
  <c r="F8" i="1"/>
  <c r="G25" i="2" l="1"/>
  <c r="I62" i="1"/>
  <c r="F25" i="2"/>
  <c r="F29" i="2" s="1"/>
  <c r="G62" i="1"/>
  <c r="G29" i="2"/>
  <c r="J54" i="11" l="1"/>
  <c r="J60" i="11" s="1"/>
</calcChain>
</file>

<file path=xl/sharedStrings.xml><?xml version="1.0" encoding="utf-8"?>
<sst xmlns="http://schemas.openxmlformats.org/spreadsheetml/2006/main" count="1859" uniqueCount="600">
  <si>
    <t>Наименование показателя</t>
  </si>
  <si>
    <t>Код строки</t>
  </si>
  <si>
    <t>Код по бюджетной классификации Российской Федерации &lt;3&gt;</t>
  </si>
  <si>
    <t>Сумма, руб. (с точностью до двух знаков после запятой - 0,00)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</si>
  <si>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</si>
  <si>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</si>
  <si>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</si>
  <si>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</si>
  <si>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субсидии</t>
  </si>
  <si>
    <t>поступления от приносящей доход деятельности</t>
  </si>
  <si>
    <t>Остаток средств на начало текущего финансового года &lt;4&gt;</t>
  </si>
  <si>
    <t>х</t>
  </si>
  <si>
    <t>Остаток средств на конец текущего финансового года &lt;4&gt;</t>
  </si>
  <si>
    <t>Доходы, всего:</t>
  </si>
  <si>
    <t>в том числе:</t>
  </si>
  <si>
    <t>доходы от собственности, всего</t>
  </si>
  <si>
    <t>доходы, получаемые в виде арендной либо иной платы за передачу в возмездное пользование муниципального имущества</t>
  </si>
  <si>
    <t>доходы, поступающие в порядке возмещения расходов, понесенных в связи с эксплуатацией имущества, находящегося в оперативном управлении учреждения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</si>
  <si>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</si>
  <si>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</si>
  <si>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доходы от операций с активами, всего</t>
  </si>
  <si>
    <t>прочие поступления, всего &lt;5&gt;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</si>
  <si>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</si>
  <si>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</si>
  <si>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</si>
  <si>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</si>
  <si>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</si>
  <si>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</si>
  <si>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</si>
  <si>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</si>
  <si>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</si>
  <si>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</si>
  <si>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</si>
  <si>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</si>
  <si>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</si>
  <si>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</si>
  <si>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</si>
  <si>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</si>
  <si>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</si>
  <si>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</si>
  <si>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</si>
  <si>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</si>
  <si>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 &lt;6&gt;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</si>
  <si>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</si>
  <si>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</si>
  <si>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</si>
  <si>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</si>
  <si>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</si>
  <si>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</si>
  <si>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</si>
  <si>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Выплаты, уменьшающие доход, всего &lt;7&gt;</t>
  </si>
  <si>
    <t>налог на прибыль &lt;7&gt;</t>
  </si>
  <si>
    <t>налог на добавленную стоимость &lt;7&gt;</t>
  </si>
  <si>
    <t>прочие налоги, уменьшающие доход &lt;7&gt;</t>
  </si>
  <si>
    <t>Прочие выплаты, всего &lt;8&gt;</t>
  </si>
  <si>
    <t>возврат в бюджет средств субсидии</t>
  </si>
  <si>
    <t>N п/п</t>
  </si>
  <si>
    <t>Коды строк</t>
  </si>
  <si>
    <t>Год начала закупки</t>
  </si>
  <si>
    <t>Сумма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</si>
  <si>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</si>
  <si>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</si>
  <si>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</si>
  <si>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 &lt;10&gt;</t>
  </si>
  <si>
    <t>за счет субсидий, предоставляемых на финансовое обеспечение выполнения государственного (муниципального) задания</t>
  </si>
  <si>
    <t>1.4.1.1</t>
  </si>
  <si>
    <t>в соответствии с Федеральным законом № 44-ФЗ</t>
  </si>
  <si>
    <t>1.4.1.2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</si>
  <si>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</si>
  <si>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</si>
  <si>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</t>
  </si>
  <si>
    <t>за счет субсидий, предоставляемых на осуществление капитальных вложений &lt;14&gt;</t>
  </si>
  <si>
    <t>за счет прочих источников финансового обеспечения</t>
  </si>
  <si>
    <t>1.4.4.1</t>
  </si>
  <si>
    <t>1.4.4.2</t>
  </si>
  <si>
    <t>в соответствии с Федеральным законом № 223-ФЗ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</si>
  <si>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</si>
  <si>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</si>
  <si>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СОГЛАСОВАНО</t>
  </si>
  <si>
    <t>на 2021 г.</t>
  </si>
  <si>
    <t>на 2022 г.</t>
  </si>
  <si>
    <t>на 2023 г.</t>
  </si>
  <si>
    <t>доходы от оказания услуг, работ, компенсации затрат учреждений, всего(611+131)</t>
  </si>
  <si>
    <t>субсидии на финансовое обеспечение выполнения муниципального задания(611)</t>
  </si>
  <si>
    <t xml:space="preserve">доходы от оказания услуг, выполнения работ, в рамках установленного муниципального задания </t>
  </si>
  <si>
    <t>доходы от оказания услуг, выполнения работ, за плату сверх установленного муниципального задания и иной приносящей доход деятельности, предусмотренной уставом учреждения (131)</t>
  </si>
  <si>
    <t>прочие доходы, всего (612)</t>
  </si>
  <si>
    <t>целевые субсидии (все кроме 310)</t>
  </si>
  <si>
    <t>в том числе: оплата труда</t>
  </si>
  <si>
    <t>из них: пособия по социальной помощи населению</t>
  </si>
  <si>
    <t>Х</t>
  </si>
  <si>
    <t>Раздел 2. Сведения по выплатам на закупки товаров,работ,услуг</t>
  </si>
  <si>
    <t xml:space="preserve">                                        (должность)                                                     (подпись)                           (расшифровка подписи)</t>
  </si>
  <si>
    <t xml:space="preserve">     Исполнитель   Экономист                      </t>
  </si>
  <si>
    <t xml:space="preserve">Управление образования администрации Северо-Енисейского района </t>
  </si>
  <si>
    <t>(наименование должности   руководителя уполномоченного органа)                        (подпись)     (расшифровка подписи)</t>
  </si>
  <si>
    <t>Утверждаю</t>
  </si>
  <si>
    <t>(подпись)                                         (расшифровка подписи)</t>
  </si>
  <si>
    <t xml:space="preserve">План финансово - хозяйственной деятельности </t>
  </si>
  <si>
    <t>КОДЫ</t>
  </si>
  <si>
    <t>Дата</t>
  </si>
  <si>
    <t>по Сводному реестру</t>
  </si>
  <si>
    <t>Орган,осуществляющий  фукции и полномочия учредителя (уполномоченный орган)</t>
  </si>
  <si>
    <t>глава по БК</t>
  </si>
  <si>
    <t xml:space="preserve"> </t>
  </si>
  <si>
    <t>ИНН</t>
  </si>
  <si>
    <t>КПП</t>
  </si>
  <si>
    <t>Наименование муниципального учреждения Северо-Енисейского района</t>
  </si>
  <si>
    <t>по ОКЕИ</t>
  </si>
  <si>
    <t>Единица измерения:</t>
  </si>
  <si>
    <t>руб.</t>
  </si>
  <si>
    <t>на 2021 год и плановый период 2022 и 2023 годов</t>
  </si>
  <si>
    <t>на 2021г.</t>
  </si>
  <si>
    <t>на 2022г.</t>
  </si>
  <si>
    <t>субсидии на осуществление капитальных вложений (310)</t>
  </si>
  <si>
    <r>
      <t xml:space="preserve">по контрактам (договорам), заключенным до начала текущего финансового года без применения норм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от 05.04.2013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от 18.07.2011 № 223-ФЗ «О закупках товаров, работ, услуг отдельными видами юридических лиц» (далее - Федеральный закон № 223-ФЗ) </t>
    </r>
    <r>
      <rPr>
        <sz val="10"/>
        <color rgb="FF0000FF"/>
        <rFont val="Times New Roman"/>
        <family val="1"/>
        <charset val="204"/>
      </rPr>
      <t>&lt;11&gt;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</si>
  <si>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44-ФЗ и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223-ФЗ </t>
    </r>
    <r>
      <rPr>
        <sz val="10"/>
        <color rgb="FF0000FF"/>
        <rFont val="Times New Roman"/>
        <family val="1"/>
        <charset val="204"/>
      </rPr>
      <t>&lt;11&gt;</t>
    </r>
  </si>
  <si>
    <r>
      <t xml:space="preserve">по контрактам (договорам), заключенным до начала текущего финансового года с учетом требований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44-ФЗ и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223-ФЗ </t>
    </r>
    <r>
      <rPr>
        <sz val="10"/>
        <color rgb="FF0000FF"/>
        <rFont val="Times New Roman"/>
        <family val="1"/>
        <charset val="204"/>
      </rPr>
      <t>&lt;12&gt;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</si>
  <si>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44-ФЗ и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223-ФЗ </t>
    </r>
    <r>
      <rPr>
        <sz val="10"/>
        <color rgb="FF0000FF"/>
        <rFont val="Times New Roman"/>
        <family val="1"/>
        <charset val="204"/>
      </rPr>
      <t>&lt;12&gt;</t>
    </r>
  </si>
  <si>
    <r>
      <t xml:space="preserve">в соответствии с Федеральным </t>
    </r>
    <r>
      <rPr>
        <sz val="10"/>
        <rFont val="Times New Roman"/>
        <family val="1"/>
        <charset val="204"/>
      </rPr>
      <t>законом</t>
    </r>
    <r>
      <rPr>
        <sz val="10"/>
        <color theme="1"/>
        <rFont val="Times New Roman"/>
        <family val="1"/>
        <charset val="204"/>
      </rPr>
      <t xml:space="preserve"> № 223-ФЗ </t>
    </r>
    <r>
      <rPr>
        <sz val="10"/>
        <rFont val="Times New Roman"/>
        <family val="1"/>
        <charset val="204"/>
      </rPr>
      <t>&lt;13&gt;</t>
    </r>
  </si>
  <si>
    <r>
      <t xml:space="preserve">Итого по контрактам, планируемым к заключению в соответствующем финансовом году в соответствии с Федеральным </t>
    </r>
    <r>
      <rPr>
        <sz val="10"/>
        <color rgb="FF0000FF"/>
        <rFont val="Times New Roman"/>
        <family val="1"/>
        <charset val="204"/>
      </rPr>
      <t>законом</t>
    </r>
    <r>
      <rPr>
        <sz val="10"/>
        <color theme="1"/>
        <rFont val="Times New Roman"/>
        <family val="1"/>
        <charset val="204"/>
      </rPr>
      <t xml:space="preserve"> № 44-ФЗ, по  соответствующему году закупки </t>
    </r>
    <r>
      <rPr>
        <sz val="10"/>
        <color rgb="FF0000FF"/>
        <rFont val="Times New Roman"/>
        <family val="1"/>
        <charset val="204"/>
      </rPr>
      <t>&lt;15&gt;</t>
    </r>
  </si>
  <si>
    <t xml:space="preserve"> Руководитель муниципального бюджетного общеобразовательного  учреждения "Брянковская  средняя школа №5"</t>
  </si>
  <si>
    <t>Расчет годового фонда оплаты труда на 2021 год</t>
  </si>
  <si>
    <t>Наименование должностей</t>
  </si>
  <si>
    <t>Кол-во ставок</t>
  </si>
  <si>
    <t>Среднемесячный фонд заработной платы</t>
  </si>
  <si>
    <t>Среднемесячная заработная плата</t>
  </si>
  <si>
    <t>Замена на время отпуска (40% на 2 месяца)</t>
  </si>
  <si>
    <t>Годовой фонд заработной платы (211)</t>
  </si>
  <si>
    <t>Страховые взносы (213)</t>
  </si>
  <si>
    <t>ИТОГО ФОТ</t>
  </si>
  <si>
    <t>Гардеробщик</t>
  </si>
  <si>
    <t>Уборщик служебных помещений</t>
  </si>
  <si>
    <t>Дворник</t>
  </si>
  <si>
    <t>Сторож</t>
  </si>
  <si>
    <t>Итого</t>
  </si>
  <si>
    <t>Руководитель РУО                                               Губкина И.В.</t>
  </si>
  <si>
    <t>Экономист                                                            Максименко М.А.</t>
  </si>
  <si>
    <t>КОСГУ 211 КВР 111    444 0701 0240074090 611</t>
  </si>
  <si>
    <t>Минимальный должностной оклад</t>
  </si>
  <si>
    <t>Директор</t>
  </si>
  <si>
    <t>Заместитель директора по учебной работе</t>
  </si>
  <si>
    <t xml:space="preserve">Заместитель директора по административно хозяйственной части </t>
  </si>
  <si>
    <t>КОСГУ 211 КВР 111    444 0701 0240075640 611</t>
  </si>
  <si>
    <t xml:space="preserve">Учитель </t>
  </si>
  <si>
    <t xml:space="preserve">Педагог дополнительного образования </t>
  </si>
  <si>
    <t>Учитель -логопед</t>
  </si>
  <si>
    <t>Педагог-психолог</t>
  </si>
  <si>
    <t xml:space="preserve">Социальный педагог </t>
  </si>
  <si>
    <t xml:space="preserve">Педагог организатор </t>
  </si>
  <si>
    <t>3.8. Обоснование (расчет) плановых показателей по выплатам компенсационного характера персоналу, за исключением фонда оплаты труда.</t>
  </si>
  <si>
    <t>3.8.1. Обоснование (расчет) выплат персоналу при направлении в служебные командировки (заполняется раздельно по источникам финансового обеспечения).</t>
  </si>
  <si>
    <t>0701 0240074090 611 КОСГУ 212 КВР 112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</si>
  <si>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</si>
  <si>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</si>
  <si>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</si>
  <si>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</si>
  <si>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</t>
  </si>
  <si>
    <t>на 2032 г.</t>
  </si>
  <si>
    <t>Суточные (АУП)</t>
  </si>
  <si>
    <t>Руководитель РУО                                            Губкина И.В.</t>
  </si>
  <si>
    <t>Экономист                                                                                Максименко М.А.</t>
  </si>
  <si>
    <t>0701 0240075640 611 КОСГУ 212 КВР 112</t>
  </si>
  <si>
    <t>Проезд</t>
  </si>
  <si>
    <t>0701 0240075880 611 КОСГУ 212 КВР 112</t>
  </si>
  <si>
    <t>0701 0240074080 611 КОСГУ 212 КВР 112</t>
  </si>
  <si>
    <t>Компенсация расходов на оплату медосмотра при трудоустройстве</t>
  </si>
  <si>
    <t>3.7.   Обоснование (расчет) плановых показателей по выплатам на страховые взносы по обязательному социальному страхованию.</t>
  </si>
  <si>
    <t>3.7.1. Обоснование (расчет) плановых показателей по выплатам на страховые взносы по обязательному социальному страхованию (заполняется раздельно по источникам финансового обеспечения).</t>
  </si>
  <si>
    <t>444 0701 0240074090 611 КОСГУ 213 КВР 119</t>
  </si>
  <si>
    <t>Задолженность по обязательствам (кредиторская задолженность) на начало года</t>
  </si>
  <si>
    <t>Сумма излишне уплаченных либо излишне взысканных страховых взносов (дебиторская задолженность) на начало года</t>
  </si>
  <si>
    <t>Страховые взносы на обязательное социальное страхование</t>
  </si>
  <si>
    <t>Задолженность по уплате страховых взносов (кредиторская задолженность) на конец года</t>
  </si>
  <si>
    <t>Сумма излишне уплаченных либо излишне взысканных страховых взносов (дебиторская задолженность) на конец года</t>
  </si>
  <si>
    <r>
      <t>Планируемые выплаты на страховые взносы на обязательное социальное страхование (</t>
    </r>
    <r>
      <rPr>
        <sz val="12"/>
        <color rgb="FF0000FF"/>
        <rFont val="Times New Roman"/>
        <family val="1"/>
        <charset val="204"/>
      </rPr>
      <t>с. 0100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с. 0200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с. 0300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с. 0400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с. 0500</t>
    </r>
    <r>
      <rPr>
        <sz val="12"/>
        <color theme="1"/>
        <rFont val="Times New Roman"/>
        <family val="1"/>
        <charset val="204"/>
      </rPr>
      <t>)</t>
    </r>
  </si>
  <si>
    <t>Руководитель РУО                                     Губкина И.В.</t>
  </si>
  <si>
    <t>Экономист                              Максименко М.А.</t>
  </si>
  <si>
    <t>444 0701 0240075640 611 КОСГУ 213 КВР 119</t>
  </si>
  <si>
    <t>444 0701 0240188000  611 КОСГУ 213 КВР 119</t>
  </si>
  <si>
    <t xml:space="preserve">3.13.2. Обоснование (расчет) плановых показателей по расходам на услуги связи.
</t>
  </si>
  <si>
    <t>Косгу 221 КВР 244</t>
  </si>
  <si>
    <t>0701 0240188030 611</t>
  </si>
  <si>
    <t>Количество номеров, ед.</t>
  </si>
  <si>
    <t>Количество платежей в год</t>
  </si>
  <si>
    <t>Стоимость за единицу, руб.</t>
  </si>
  <si>
    <t>Абоненсткая  плата (местная телефонная связь)</t>
  </si>
  <si>
    <t xml:space="preserve">Приобретение почтовых марок </t>
  </si>
  <si>
    <t>Руководитель Руо                              Губкина И.В.</t>
  </si>
  <si>
    <t>Экономист                                     Максименко М.А.</t>
  </si>
  <si>
    <t>0701 0240074090 611</t>
  </si>
  <si>
    <t xml:space="preserve">Междугородние соединения </t>
  </si>
  <si>
    <t>0701 0240075640 611</t>
  </si>
  <si>
    <t xml:space="preserve">Интернет </t>
  </si>
  <si>
    <t xml:space="preserve">3.13.3. Обоснование (расчет) плановых показателей по расходам на транспортные услуги.
</t>
  </si>
  <si>
    <t>0701 0240074090 611 КОСГУ 222 КВР 244</t>
  </si>
  <si>
    <t>Количество услуг перевозки</t>
  </si>
  <si>
    <t>Цена услуги перевозки, руб.</t>
  </si>
  <si>
    <t>Хранение на складе  и забор  груза Красноярск-Северо-Енисейск</t>
  </si>
  <si>
    <t>Руководитель РУО                           Губкина И.В.</t>
  </si>
  <si>
    <t>Экономист                               Максименко М.А.</t>
  </si>
  <si>
    <t>0701 0240188040 611 КОСГУ 222 КВР 244</t>
  </si>
  <si>
    <t xml:space="preserve">Хранение и сбор груза со склада г Красноярск </t>
  </si>
  <si>
    <t>0701 0240075640 611 КОСГУ 222 КВР 244</t>
  </si>
  <si>
    <t>3.13.4. Обоснование (расчет) плановых показателей по расходам на коммунальные услуги</t>
  </si>
  <si>
    <t>0701 0240188050 611 КОСГУ 223 КВР 244</t>
  </si>
  <si>
    <t>Расчетное потребление ресурсов</t>
  </si>
  <si>
    <t>Тариф (с учетом НДС), руб.</t>
  </si>
  <si>
    <t xml:space="preserve">Теплоснабжение </t>
  </si>
  <si>
    <t xml:space="preserve">Водоснабжение </t>
  </si>
  <si>
    <t xml:space="preserve">Электроснабжение </t>
  </si>
  <si>
    <t xml:space="preserve"> ТКО</t>
  </si>
  <si>
    <t>Вызов бытовых стоков</t>
  </si>
  <si>
    <t>Руководитель РУО                                                   Губкина И.В.</t>
  </si>
  <si>
    <t xml:space="preserve">           Экономист                                                                      Максименко М.А.</t>
  </si>
  <si>
    <t>3.13.6. Обоснование (расчет) плановых показателей по расходам на содержание имущества.</t>
  </si>
  <si>
    <t>444 0701 0240188061 611 КОСГУ 225 КВР 244</t>
  </si>
  <si>
    <t>Количество работ (услуг)</t>
  </si>
  <si>
    <t>Стоимостьо работ (услуг)</t>
  </si>
  <si>
    <t xml:space="preserve">Аварийно-диспетчерское обслуживание </t>
  </si>
  <si>
    <t xml:space="preserve">Уборка территории от снега </t>
  </si>
  <si>
    <t xml:space="preserve">Обслуживание охранно-пожарной сигнализации </t>
  </si>
  <si>
    <t xml:space="preserve">Центр гигиены и эпидемиологии в Красноярском крае дератизация и дезинфекция помещения </t>
  </si>
  <si>
    <t>Поверка тепловодосчетчиков</t>
  </si>
  <si>
    <t xml:space="preserve">Годовое тех обслуживние узлов тепло водоснабжения </t>
  </si>
  <si>
    <t xml:space="preserve">Промывка и опресовка системы отопления </t>
  </si>
  <si>
    <t xml:space="preserve">Монтаж теплоузла </t>
  </si>
  <si>
    <t>Обслуживание охранной сигнализации</t>
  </si>
  <si>
    <t>Руководитель РУО                             Губкина И.В.</t>
  </si>
  <si>
    <t xml:space="preserve">3.13.8. Обоснование (расчет) плановых показателей по прочим расходам </t>
  </si>
  <si>
    <t>444 0702 0240074090 611  КОСГУ 226 КВР 244</t>
  </si>
  <si>
    <t>Количество услуг (работ)</t>
  </si>
  <si>
    <t>Стоимость услуг (работ)</t>
  </si>
  <si>
    <t xml:space="preserve">Периодические медицинские осмотры </t>
  </si>
  <si>
    <t xml:space="preserve">Подписка на периодические издания </t>
  </si>
  <si>
    <t>Услуги по обучению на курсах повышения кваллификации</t>
  </si>
  <si>
    <t xml:space="preserve">Приобретение программного обеспечения </t>
  </si>
  <si>
    <t>Приобретение бланков строгой отчетности  (атестаты)</t>
  </si>
  <si>
    <t>Руководитель РУО                                                                Губкина И.В.</t>
  </si>
  <si>
    <t>Экономист                                                                    Максименко М.А.</t>
  </si>
  <si>
    <t>444 0702 0240075640 611  КОСГУ 226 КВР 244</t>
  </si>
  <si>
    <t xml:space="preserve">Услуги по обучению на курса повышения квалификации </t>
  </si>
  <si>
    <t>Приобретение бланков строгой отчетности (аттестаты)</t>
  </si>
  <si>
    <t>444 07010240188070 611  КОСГУ 226 КВР 244</t>
  </si>
  <si>
    <t>Обучение "Тепловые энергоустановки и тепловые сети"</t>
  </si>
  <si>
    <t xml:space="preserve">Услуги Центра гигиены и эпидемиологии </t>
  </si>
  <si>
    <t>Обучение "Охрана труда" и пожарно технический минимум</t>
  </si>
  <si>
    <t>Демеркуризация отработанных ламп</t>
  </si>
  <si>
    <t xml:space="preserve">Услуги Семис </t>
  </si>
  <si>
    <t xml:space="preserve">Атестация условий рабочих мест </t>
  </si>
  <si>
    <t>Испытание диэлектрических бот и перчаток</t>
  </si>
  <si>
    <t xml:space="preserve">Накладные расходы по организации питания учащихся </t>
  </si>
  <si>
    <t xml:space="preserve">Обслуживание системы наружного видеонаблдения </t>
  </si>
  <si>
    <t xml:space="preserve"> Расчет (обоснование) расходов на оплату прочих работ (услуг)</t>
  </si>
  <si>
    <t>Код целевой статьи расходов</t>
  </si>
  <si>
    <t>0701 0240188070 852</t>
  </si>
  <si>
    <t>Код видов расходов</t>
  </si>
  <si>
    <t>852</t>
  </si>
  <si>
    <t>Источник финансового обеспечения</t>
  </si>
  <si>
    <t>31</t>
  </si>
  <si>
    <t>Косгу 290 КВР 852</t>
  </si>
  <si>
    <t>№ п/п</t>
  </si>
  <si>
    <t xml:space="preserve">Количество </t>
  </si>
  <si>
    <t>Средняя стоимость, руб</t>
  </si>
  <si>
    <t>Сумма, руб (гр.3*гр.4)</t>
  </si>
  <si>
    <t xml:space="preserve">Оплата госпошлины,штрафы,пени </t>
  </si>
  <si>
    <t>ИТОГО</t>
  </si>
  <si>
    <t xml:space="preserve">Руководитель  РУО                                                                                           И.В.Губкина </t>
  </si>
  <si>
    <t>Экономист                                                                                                         Максименко М.А.</t>
  </si>
  <si>
    <t>2. Расчеты (обоснования) расходов на социальные и иные выплаты населению</t>
  </si>
  <si>
    <t xml:space="preserve">Код целевой статьи расходов     </t>
  </si>
  <si>
    <t>44410040240075560612</t>
  </si>
  <si>
    <t xml:space="preserve">Код видов расходов </t>
  </si>
  <si>
    <t xml:space="preserve">321 " Пособия, компенсации и иные социальные выплаты
гражданам, кроме публичных нормативных обязательств"
</t>
  </si>
  <si>
    <t xml:space="preserve">Источник финансового обеспечения </t>
  </si>
  <si>
    <t>краевой бюджет</t>
  </si>
  <si>
    <t>КОСГУ 262 КВР 321</t>
  </si>
  <si>
    <t>№                                   п/п</t>
  </si>
  <si>
    <t xml:space="preserve">Наименование показателя </t>
  </si>
  <si>
    <t xml:space="preserve">Размер одной выплаты в месяц, руб </t>
  </si>
  <si>
    <t xml:space="preserve">Количество получатей </t>
  </si>
  <si>
    <t xml:space="preserve">Количество выплат в год </t>
  </si>
  <si>
    <t>Общая сумма выплат, руб (гр.3*гр.4)</t>
  </si>
  <si>
    <t>Компенсация части родительской платы</t>
  </si>
  <si>
    <t>Итого:</t>
  </si>
  <si>
    <t xml:space="preserve">3.8.2 Обоснование (расчет) выплат персоналу по уходу за ребенком.
</t>
  </si>
  <si>
    <t>0701 0240188001 611 КОСГУ 212 КВР 112</t>
  </si>
  <si>
    <t>Численность работников, получающих пособие, чел.</t>
  </si>
  <si>
    <t>Количество выплат в год на одного работника, шт.</t>
  </si>
  <si>
    <t>Размер выплаты (пособия) в месяц, руб.</t>
  </si>
  <si>
    <t>Пособие по уходу за ребенком до 3-х лет</t>
  </si>
  <si>
    <t>Руководитель РУО                                                                                                           Губкина И.В.</t>
  </si>
  <si>
    <t xml:space="preserve">       Экономист                                                                                                                    Максименко М.А.</t>
  </si>
  <si>
    <t>МБОУ БСШ № 5</t>
  </si>
  <si>
    <t>Воспитатель ГПД</t>
  </si>
  <si>
    <t>Машинист по стирке белья</t>
  </si>
  <si>
    <t>Вахтер</t>
  </si>
  <si>
    <t xml:space="preserve">Рабочий </t>
  </si>
  <si>
    <t>07 02 0240188100 611</t>
  </si>
  <si>
    <t>КОСГУ 211 КВР 111</t>
  </si>
  <si>
    <t>Обслуживание технических средств охраны (тревожная кнопка)</t>
  </si>
  <si>
    <t>"Брянковская средняя школа №5"</t>
  </si>
  <si>
    <t>№</t>
  </si>
  <si>
    <t>наименование</t>
  </si>
  <si>
    <t xml:space="preserve">кол-во </t>
  </si>
  <si>
    <t>цена</t>
  </si>
  <si>
    <t>сумма</t>
  </si>
  <si>
    <t xml:space="preserve">Автоматический сенсорный дозатор дезинфицирующих средств </t>
  </si>
  <si>
    <t>Обеззараживатель-очиститель фотокаталитический воздуха "АЭРОЛАЙФ С-80</t>
  </si>
  <si>
    <t>итого</t>
  </si>
  <si>
    <t>МЕСТНЫЙ БЮДЖЕТ    444 0702 0240188080 244              2021г</t>
  </si>
  <si>
    <t>КОСГУ 310 КВР 244</t>
  </si>
  <si>
    <t xml:space="preserve">"Брянковская средняя школа №5" </t>
  </si>
  <si>
    <t>МЕСТНЫЙ БЮДЖЕТ       444 0702 0240188190 244                   2021г</t>
  </si>
  <si>
    <t>Ед. изм</t>
  </si>
  <si>
    <t>Цена</t>
  </si>
  <si>
    <t>Хоз.товары</t>
  </si>
  <si>
    <t>Мыло хозяйственное    80г.</t>
  </si>
  <si>
    <t>шт</t>
  </si>
  <si>
    <t>Мыло туалетное детское  100г.</t>
  </si>
  <si>
    <t>Порошок стиральный детский  450г. Автомат</t>
  </si>
  <si>
    <t>п</t>
  </si>
  <si>
    <t>Дезинфицирующее средство ,Ника-хлор 1 литр-300т.</t>
  </si>
  <si>
    <t xml:space="preserve">дезенфицирующее средство для входной рамки 5л </t>
  </si>
  <si>
    <t xml:space="preserve">шт </t>
  </si>
  <si>
    <t>Чистящее средство "Пемолюкс"</t>
  </si>
  <si>
    <t>Средство  для  мытья  окон</t>
  </si>
  <si>
    <t xml:space="preserve">доводчик для дверей </t>
  </si>
  <si>
    <t xml:space="preserve">Перчатки резиновые хозяйственные </t>
  </si>
  <si>
    <t>пар</t>
  </si>
  <si>
    <t>Полотно техническое ХПП</t>
  </si>
  <si>
    <t xml:space="preserve">бумага туалетная </t>
  </si>
  <si>
    <t>перчатки лаексные повышенной прочности 50шт/упаковка</t>
  </si>
  <si>
    <t>упак.</t>
  </si>
  <si>
    <t>тряпка с микрофиброй для шк. доски</t>
  </si>
  <si>
    <t>Доместос</t>
  </si>
  <si>
    <t>батарейки  DURACELL  Turbo MAX AA</t>
  </si>
  <si>
    <t xml:space="preserve"> шт</t>
  </si>
  <si>
    <t xml:space="preserve">Клей момент </t>
  </si>
  <si>
    <t>Лампа ДРВ 250HWL 250W</t>
  </si>
  <si>
    <t>лампа энергосберегающая (холодный цвет) высота не более 120мм</t>
  </si>
  <si>
    <t xml:space="preserve">маска медицинская защитная  упаковка 50шт </t>
  </si>
  <si>
    <t>Смеситель для кухни  G-LAUF</t>
  </si>
  <si>
    <t xml:space="preserve">Смеситель для ванны G-LAUF двертор поворотный </t>
  </si>
  <si>
    <t>мешки для сбор мусора 30/30</t>
  </si>
  <si>
    <t>наб</t>
  </si>
  <si>
    <t>МЕШКИ для мусора универсальный 200л</t>
  </si>
  <si>
    <t>уп</t>
  </si>
  <si>
    <t>светильник ЛПО 12х2х36 012 УХЛ4</t>
  </si>
  <si>
    <t xml:space="preserve">медикаменты </t>
  </si>
  <si>
    <t xml:space="preserve">зеленка </t>
  </si>
  <si>
    <t xml:space="preserve">нашатырный стирт </t>
  </si>
  <si>
    <t xml:space="preserve">пластырь бактерицидный </t>
  </si>
  <si>
    <t xml:space="preserve">бинт стерильный </t>
  </si>
  <si>
    <t xml:space="preserve">                                                                                               Итого</t>
  </si>
  <si>
    <t>Строительные  материалы</t>
  </si>
  <si>
    <t xml:space="preserve">краска акриловая  универсальная противопожарная моющаяся (белоснежная)для кабинетов и коридоров </t>
  </si>
  <si>
    <t>кг</t>
  </si>
  <si>
    <t>эмаль белая</t>
  </si>
  <si>
    <t>эмаль желтая</t>
  </si>
  <si>
    <t>эмаль желто-коричневая для пола</t>
  </si>
  <si>
    <t>эмаль голубая</t>
  </si>
  <si>
    <t xml:space="preserve">Краска  Промакрил серая противопожарная для пож. Лестниц.10кг </t>
  </si>
  <si>
    <t>эмаль красная</t>
  </si>
  <si>
    <t>эмаль зеленая (забор)</t>
  </si>
  <si>
    <t>валики меховые</t>
  </si>
  <si>
    <t>кисти</t>
  </si>
  <si>
    <t xml:space="preserve">кисть для радиатора </t>
  </si>
  <si>
    <t>колер краска "ТЕКС" тон №13(шоколадно-коричневый) 0,75л.</t>
  </si>
  <si>
    <t>Клей для кафельной плитки</t>
  </si>
  <si>
    <t>меш.</t>
  </si>
  <si>
    <t>Антисептик противогрибковое средство для бетонных стен</t>
  </si>
  <si>
    <t xml:space="preserve">кг. </t>
  </si>
  <si>
    <t xml:space="preserve">краска полиуретановая Полимерстоун  для пола в пищеблоке ВД-АК 449 красно-коричневая </t>
  </si>
  <si>
    <t xml:space="preserve">порог стыковочный </t>
  </si>
  <si>
    <t xml:space="preserve">краска черная по металлу </t>
  </si>
  <si>
    <t xml:space="preserve">мягкий инвентарь </t>
  </si>
  <si>
    <t xml:space="preserve">халат для уборщицы на молнии женский " Классика" (САКУРА)  размеры:  50р - 2 шт , 52р- 2 шт,, 54р- 3 шт , 56р- 3 шт., 58р- 2 шт  Цвет - синий-бирюзовый </t>
  </si>
  <si>
    <t xml:space="preserve">перчатки х/б с полимерным покрытием </t>
  </si>
  <si>
    <t xml:space="preserve">Костюм мужской рабочий   размеры:  48р/50 - 2 шт , 52р- 1 шт,, </t>
  </si>
  <si>
    <t>ВСЕГО</t>
  </si>
  <si>
    <t>11.1. Расчет (обоснование) расходов на оплату работ, услуг по содержанию имущества</t>
  </si>
  <si>
    <t>44407020210080040612</t>
  </si>
  <si>
    <t>244 "Прочая закупка товаров, работ и услуг для обеспечения государственных (муниципальных) нужд"</t>
  </si>
  <si>
    <t>местный бюджет</t>
  </si>
  <si>
    <t>Объект</t>
  </si>
  <si>
    <t>Стоимость работ (услуг), руб</t>
  </si>
  <si>
    <t>Сумма, руб (гр.3*гр.4*гр.5)</t>
  </si>
  <si>
    <t>Текущий ремонт (спортивного зала)</t>
  </si>
  <si>
    <t xml:space="preserve">Косметический ремонт </t>
  </si>
  <si>
    <t xml:space="preserve">Ремонт крови </t>
  </si>
  <si>
    <t>КОСГУ225 КВР 244</t>
  </si>
  <si>
    <t>КРАЕВОЙ БЮДЖЕТ    школа  444 0702 0240075640 244    2021г.</t>
  </si>
  <si>
    <t>Ед. Изм</t>
  </si>
  <si>
    <t>бумага цветная самокл. 10цв. А-4</t>
  </si>
  <si>
    <t>картон цветной</t>
  </si>
  <si>
    <t>бумага гафрированная  в рулонах    5 цветов</t>
  </si>
  <si>
    <t>журнал классный 1-4 кл.</t>
  </si>
  <si>
    <t>журнал классный 5-9 кл.</t>
  </si>
  <si>
    <t xml:space="preserve">журнал классный 10-11 кл </t>
  </si>
  <si>
    <t xml:space="preserve">журнал учета групповых занятий доп. образования </t>
  </si>
  <si>
    <t xml:space="preserve">журнал факультативных занятий </t>
  </si>
  <si>
    <t xml:space="preserve">журнал учета посетителей объекта </t>
  </si>
  <si>
    <t>бумага самоклеющая в рулонах    5 цветов</t>
  </si>
  <si>
    <t>бумага А4 д/принтера 500л</t>
  </si>
  <si>
    <t>папка конверт на кнопке А4</t>
  </si>
  <si>
    <t>набор Бумажный стикер для заметок</t>
  </si>
  <si>
    <t xml:space="preserve">ножницы </t>
  </si>
  <si>
    <t>клейкая лента в диспенсере 12мм х 10м</t>
  </si>
  <si>
    <t xml:space="preserve">Папка с файлами 20 вкладышей </t>
  </si>
  <si>
    <t>Маркеры д/маркерных досок набор 4 цвета</t>
  </si>
  <si>
    <t>Бумага самоклеющая для струйной и лазерной печати  LOMOND 50 листов</t>
  </si>
  <si>
    <t xml:space="preserve">Чистящая жидкость- спрей для экранов мониторов 250мл </t>
  </si>
  <si>
    <t xml:space="preserve"> карандаши цветные </t>
  </si>
  <si>
    <t xml:space="preserve">шар воздушный </t>
  </si>
  <si>
    <t xml:space="preserve">уп </t>
  </si>
  <si>
    <t xml:space="preserve">Папка с файлами 80 вкладышей </t>
  </si>
  <si>
    <t>КОСГУ 340 КВР 244</t>
  </si>
  <si>
    <t xml:space="preserve">АУП - школа            444 0701 0240074090      244                                          </t>
  </si>
  <si>
    <t>флешка USB FLASH 32Gb</t>
  </si>
  <si>
    <t>шкаф для одежды глубокий ШМ50.5  740х520х2050  (ольха)</t>
  </si>
  <si>
    <t>Картриджи</t>
  </si>
  <si>
    <t>Картридж XEROX WORKCENTRE-3119</t>
  </si>
  <si>
    <t>картридж на Kyocera FS-1125 MFP</t>
  </si>
  <si>
    <t>картридж SAMSUNG SCX-4300</t>
  </si>
  <si>
    <t>АУП           школа            444 0702 0240074090 244                На              2021г</t>
  </si>
  <si>
    <t xml:space="preserve">КРАЕВОЙ БЮДЖЕТ      д/сад       444 0701 0240075880 244                          </t>
  </si>
  <si>
    <t xml:space="preserve">игровой модуль Умелые ручки </t>
  </si>
  <si>
    <t xml:space="preserve">Итого </t>
  </si>
  <si>
    <t>раскраски (разные) от 3-6 лет</t>
  </si>
  <si>
    <t xml:space="preserve">альбом </t>
  </si>
  <si>
    <t xml:space="preserve">пластелин </t>
  </si>
  <si>
    <t xml:space="preserve">КРАЕВОЙ БЮДЖЕТ        д/сад     444 0701 0240075880 244                    </t>
  </si>
  <si>
    <t>На   2021г КОСГУ 340 КВР 244</t>
  </si>
  <si>
    <t xml:space="preserve">шкаф металлический хозяйственный  ШРМ 22У 800 </t>
  </si>
  <si>
    <t>-</t>
  </si>
  <si>
    <t xml:space="preserve">                       АУП -д/сад       444 0701 0240074080 244         КОСГУ 310 КВР 244                                                </t>
  </si>
  <si>
    <t>АУП             д/сад         444 0701  0240074080 244                         2021г</t>
  </si>
  <si>
    <t xml:space="preserve">маркеры для маркерных досок  4цв </t>
  </si>
  <si>
    <t>папка с файлами 30-40</t>
  </si>
  <si>
    <t>бумага д/принтера цветная (яркая)А4</t>
  </si>
  <si>
    <t xml:space="preserve">клей карандаш  </t>
  </si>
  <si>
    <t>44407020240074080611</t>
  </si>
  <si>
    <t>0701 0240074080 611</t>
  </si>
  <si>
    <t>44410030230075660612</t>
  </si>
  <si>
    <t>Количество договоров</t>
  </si>
  <si>
    <t>Количество (объем) работ (услуг)</t>
  </si>
  <si>
    <t>Стоимость услуги, руб</t>
  </si>
  <si>
    <t xml:space="preserve">Организация питания учащихся </t>
  </si>
  <si>
    <t>7.2. Расчет (обоснование) расходов на оплату прочих работ, услуг</t>
  </si>
  <si>
    <t>Периодические медицинские осмотры</t>
  </si>
  <si>
    <t>Услуги по обучению на курсах повышения квалификации</t>
  </si>
  <si>
    <t>КОСГУ 226 КВР 244</t>
  </si>
  <si>
    <t>8. Расчет (обоснование) расходов на закупку товаров, работ, услуг</t>
  </si>
  <si>
    <t>44407020240075880611</t>
  </si>
  <si>
    <t>8.1. Расчет (обоснование) расходов на оплату прочих работ, услуг</t>
  </si>
  <si>
    <t>Подписка на периодические издания</t>
  </si>
  <si>
    <t>6.3. Расчет (обоснование) расходов на оплату прочих работ, услуг</t>
  </si>
  <si>
    <t>44407020240074090611</t>
  </si>
  <si>
    <t>Приобретение программного обеспечения</t>
  </si>
  <si>
    <t>Приобретение бланков строгой отчетности</t>
  </si>
  <si>
    <t>112 "Иные выплаты персоналу учреждений, за исключением фонда оплаты труда"</t>
  </si>
  <si>
    <t>Количество человек</t>
  </si>
  <si>
    <t>Средний размер выплаты, руб</t>
  </si>
  <si>
    <t>компенсация расходов на оплату медосмотра пр трудоустройстве</t>
  </si>
  <si>
    <t>КОСГУ 212 КВР 112</t>
  </si>
  <si>
    <t>Средний размер выплаты на одного работника в день, руб</t>
  </si>
  <si>
    <t>Количество работников, чел</t>
  </si>
  <si>
    <t>суточные</t>
  </si>
  <si>
    <t>проезд</t>
  </si>
  <si>
    <t>проживание (без предоставления подтверждающих документов)</t>
  </si>
  <si>
    <t>КОСГУ 212 КВР 244</t>
  </si>
  <si>
    <t>1.2. Расчет (обоснование) выплат персоналу при направлении в служебные командировки</t>
  </si>
  <si>
    <t>проживание</t>
  </si>
  <si>
    <t>44407020240075640611</t>
  </si>
  <si>
    <t>444 0701 0240075880  611 КОСГУ 213 КВР 119</t>
  </si>
  <si>
    <t>444 0701 0240074080  611 КОСГУ 213 КВР 119</t>
  </si>
  <si>
    <t xml:space="preserve">Библеотекарь </t>
  </si>
  <si>
    <t>КОСГУ 211 КВР 111    444 0701 0240074080 611</t>
  </si>
  <si>
    <t>Младший воспитатель</t>
  </si>
  <si>
    <t>КОСГУ 211 КВР 111    444 0701 0240075880 611</t>
  </si>
  <si>
    <t>Инстуктор по физической культуре</t>
  </si>
  <si>
    <t>Музыкальный руководитель</t>
  </si>
  <si>
    <t xml:space="preserve">Воспитатель </t>
  </si>
  <si>
    <t>1.5</t>
  </si>
  <si>
    <t>1.4.1.3</t>
  </si>
  <si>
    <t>1.4.2.3</t>
  </si>
  <si>
    <t>1.4.2.4</t>
  </si>
  <si>
    <t>Н.С. Храмцова</t>
  </si>
  <si>
    <t>Муниципальное бюджетное общеобразовательное  учреждение "Брянковская  средняя школа №5"</t>
  </si>
  <si>
    <t xml:space="preserve">  Расчет (обоснование) выплат на оплату компенсации  льготного проезда в отпуск (Гарантии и компенсации для лиц, проживающих в Северо-Енисейском районе) МБОУ "ССШ №2 "</t>
  </si>
  <si>
    <t>444 0701 0240188010 612</t>
  </si>
  <si>
    <t>112</t>
  </si>
  <si>
    <t>квр 112 косгу 214</t>
  </si>
  <si>
    <t>ФИО</t>
  </si>
  <si>
    <t>Место отдыха</t>
  </si>
  <si>
    <t>Кол-во человек</t>
  </si>
  <si>
    <t>Кол-во иждивенцев</t>
  </si>
  <si>
    <t>Стоимость</t>
  </si>
  <si>
    <t>Сумма, руб (гр.5+гр.4)*гр.6</t>
  </si>
  <si>
    <t>Пшонко Вероника Сергеевна</t>
  </si>
  <si>
    <t>г. Красноярск</t>
  </si>
  <si>
    <t>Тодоренко Александра Геннадьевна</t>
  </si>
  <si>
    <t>Г. Владивосток</t>
  </si>
  <si>
    <t>Прохорова Нелли Михайловна</t>
  </si>
  <si>
    <t>Ярмоц Ольга Владимировна</t>
  </si>
  <si>
    <t>г. Сочи</t>
  </si>
  <si>
    <t>Маркова Наталья Николаевна</t>
  </si>
  <si>
    <t>Г. Крым</t>
  </si>
  <si>
    <t>Лепилина Наталья Геннадьевна</t>
  </si>
  <si>
    <t xml:space="preserve">Руководитель РУО И.В.Губкина </t>
  </si>
  <si>
    <t>Экономист Максименко М.А.</t>
  </si>
  <si>
    <t xml:space="preserve">Храмцова Наталья Сергеевна </t>
  </si>
  <si>
    <t xml:space="preserve">Ураткина Светлана Николаевна </t>
  </si>
  <si>
    <t xml:space="preserve">Гейман Елена Андреевна </t>
  </si>
  <si>
    <t>444 0702 0240074090 612</t>
  </si>
  <si>
    <t>Экономист            Максименко М.А.</t>
  </si>
  <si>
    <t>Северо-Енисейск-Красноярск-Сочи-Красноярск-Северо-Енисейск-Брянка</t>
  </si>
  <si>
    <t>30</t>
  </si>
  <si>
    <t>Фалина Тамара Александровна</t>
  </si>
  <si>
    <t>Ромарнюк Александра Викторовна</t>
  </si>
  <si>
    <t>Тютина Тамара Павловна</t>
  </si>
  <si>
    <t>444 0702 0240074080 612</t>
  </si>
  <si>
    <t xml:space="preserve">Лотарева Тамара Владимировна +1 ребенок </t>
  </si>
  <si>
    <t xml:space="preserve">  Расчет (обоснование) выплат на оплату компенсации  льготного проезда в отпуск (Гарантии и компенсации для лиц,</t>
  </si>
  <si>
    <t>0702 0210080010 612</t>
  </si>
  <si>
    <t>244</t>
  </si>
  <si>
    <t>1.</t>
  </si>
  <si>
    <t>Приобретение комплектов технологического оборудования для пищеблоков</t>
  </si>
  <si>
    <t>44407010240188011611</t>
  </si>
  <si>
    <t>местный  бюджет</t>
  </si>
  <si>
    <t>Финансовое обеспечение решения Северо-Енисейского районного Совета депутатов от 12.02.2021 № 80-6 «О финансовом обеспечении расходов на региональные выплаты работникам муниципальных учреждений Северо-Енисейского района в 2021 году»</t>
  </si>
  <si>
    <t xml:space="preserve">111  Оплата труда </t>
  </si>
  <si>
    <t xml:space="preserve">119 Начисления на оплату труда </t>
  </si>
  <si>
    <t xml:space="preserve">Руководитель РУО                                         И.В.Губкина </t>
  </si>
  <si>
    <t>Экономист                                            Максименко М.А.</t>
  </si>
  <si>
    <t>изменения</t>
  </si>
  <si>
    <t xml:space="preserve">изменения </t>
  </si>
  <si>
    <t>Расчёт расходов на организацию профессионального образования и дополнительного образования работников образовательных учреждений и Управления образования администрации Северо-Енисейского района на 2021 год</t>
  </si>
  <si>
    <t>Наименование учреждения</t>
  </si>
  <si>
    <t>Наименование программы обучения</t>
  </si>
  <si>
    <t>Периодичность прохождения обучения</t>
  </si>
  <si>
    <t>Стоимость обучения</t>
  </si>
  <si>
    <t>Всего затрат</t>
  </si>
  <si>
    <t>"Тепловые энергоустановки и тепловые сети"</t>
  </si>
  <si>
    <t>1 раз в год</t>
  </si>
  <si>
    <t>"Безопасная эксплуатация электроустановок"</t>
  </si>
  <si>
    <t>"Обучение по охране труда и пожарно-технический минимум"</t>
  </si>
  <si>
    <t>1 раз в 3 года</t>
  </si>
  <si>
    <t xml:space="preserve">Руководитель РУО                           И.В.Губкина </t>
  </si>
  <si>
    <t>Экономист                  Максименко М.А.</t>
  </si>
  <si>
    <t>МБОУ "БСШ №5"</t>
  </si>
  <si>
    <t xml:space="preserve">                                            А.В. Никитина</t>
  </si>
  <si>
    <t>Руководитель Управления образования администрации  Северо-Енисейского района</t>
  </si>
  <si>
    <t>И.В. Губкина</t>
  </si>
  <si>
    <t>Расчет (обоснование) расходов</t>
  </si>
  <si>
    <t>444  0702 024E151690 34 612</t>
  </si>
  <si>
    <t xml:space="preserve">косгу </t>
  </si>
  <si>
    <t>Количество, шт</t>
  </si>
  <si>
    <t xml:space="preserve">Приобретение оборудования   в рамках проекта "Точка Роста" </t>
  </si>
  <si>
    <t>444  0702 024E151690  30 612</t>
  </si>
  <si>
    <t>Приобретение оборудования, программного обеспечения, в рамках  проекта«Точки роста» в 2021 году</t>
  </si>
  <si>
    <t>444  0702 024E151690  36 612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</si>
  <si>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</si>
  <si>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КРАЕВОЙ БЮДЖЕТ    школа  444 0702 0240075640 244    2021 г.</t>
  </si>
  <si>
    <t xml:space="preserve">                               КРАЕВОЙ БЮДЖЕТ      школа     444   0702 0240075640 244                                     </t>
  </si>
  <si>
    <t xml:space="preserve">проектор </t>
  </si>
  <si>
    <t>сейф под ноутбуки  (14 шт)</t>
  </si>
  <si>
    <t xml:space="preserve">Руководитель </t>
  </si>
  <si>
    <t>Губкина И.В</t>
  </si>
  <si>
    <t>Экономист</t>
  </si>
  <si>
    <t>Никитина А.В</t>
  </si>
  <si>
    <t>2.1. Расчет (обоснование) расходов на оплату прочих работ, услуг</t>
  </si>
  <si>
    <t>44410040240075630612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</si>
  <si>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</si>
  <si>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Губкина И.В.</t>
  </si>
  <si>
    <t xml:space="preserve">Экономист </t>
  </si>
  <si>
    <t>Никитина А.В.</t>
  </si>
  <si>
    <t>Руководитель</t>
  </si>
  <si>
    <t>Проведение испытаний устройств заземления и изоляции электросетей</t>
  </si>
  <si>
    <t>Экспертиза огнезащитной обработки строительных конструкций и текстильных материалов</t>
  </si>
  <si>
    <t>Организация питания воспитанников дошкольных групп</t>
  </si>
  <si>
    <t>Пожарная сигнализация</t>
  </si>
  <si>
    <t>закупка энергетических ресурсов</t>
  </si>
  <si>
    <t>Экономист                                                         Никитина А.В</t>
  </si>
  <si>
    <t>Экономист                                                            Никитина А.В.</t>
  </si>
  <si>
    <t>44407020240188980612</t>
  </si>
  <si>
    <t>111 "Фонд оплаты труда учреждений"</t>
  </si>
  <si>
    <t xml:space="preserve">Выплата поощрения в целях стимулирования муниципальных служащих и работников органов местного самоуправления,органов администрации Северо-Енисейского района с правами юридического лица,муниципальных учреждений Северо-Енисейского района,осуществляющих полномочия по решению вопросов местного значения Северо-Енисейского района,а также государственные полномочия,переданные Красноярским краем,муниципальному образованию Северо-Енисейский район по результатам осуществлениями ими полномочий по решению вопросов местного значения Северо-Енисейского района </t>
  </si>
  <si>
    <t>Руководитель РУО</t>
  </si>
  <si>
    <t>А.В. Никитина</t>
  </si>
  <si>
    <t>Приложение № 4                                                                                                      к распоряжению Управления образования администрации Северо-Енисейского района от 29.12.2020 г № 215</t>
  </si>
  <si>
    <t>Распоряжением Управления образования администрации Северо-Енисейского района от 14.07.2021 № 110</t>
  </si>
  <si>
    <t>от "14" июля   2021 года</t>
  </si>
  <si>
    <t>10.1. Расчет (обоснование) расходов на оплату прочих работ, услуг</t>
  </si>
  <si>
    <t>44410030230080140612</t>
  </si>
  <si>
    <t>Организация питания учащихся (дополнительный расчет</t>
  </si>
  <si>
    <t>Экономист                             Никитина А.В.</t>
  </si>
  <si>
    <t xml:space="preserve">                                             «14»  07  2021 г.</t>
  </si>
  <si>
    <t xml:space="preserve">                                             «14» 07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</si>
</sst>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р_._-;\-* #,##0.00\ _р_._-;_-* &quot;-&quot;??\ _р_.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</numFmts>
  <fonts count="4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i/>
      <sz val="11"/>
      <color rgb="FF0000FF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FF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F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3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20" fillId="0" borderId="0"/>
    <xf numFmtId="0" fontId="29" fillId="0" borderId="0"/>
    <xf numFmtId="0" fontId="28" fillId="0" borderId="0"/>
    <xf numFmtId="165" fontId="10" fillId="0" borderId="0" applyFont="0" applyFill="0" applyBorder="0" applyAlignment="0" applyProtection="0"/>
    <xf numFmtId="0" fontId="28" fillId="0" borderId="0"/>
    <xf numFmtId="0" fontId="10" fillId="0" borderId="0"/>
    <xf numFmtId="0" fontId="20" fillId="0" borderId="0"/>
    <xf numFmtId="165" fontId="20" fillId="0" borderId="0" applyFont="0" applyFill="0" applyBorder="0" applyAlignment="0" applyProtection="0"/>
  </cellStyleXfs>
  <cellXfs count="695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4" fontId="0" fillId="0" borderId="0" xfId="0" applyNumberFormat="1"/>
    <xf numFmtId="4" fontId="3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/>
    <xf numFmtId="0" fontId="11" fillId="0" borderId="0" xfId="1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1" fillId="0" borderId="7" xfId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" fontId="5" fillId="0" borderId="7" xfId="2" applyNumberFormat="1" applyFont="1" applyFill="1" applyBorder="1" applyAlignment="1">
      <alignment vertical="center" wrapText="1"/>
    </xf>
    <xf numFmtId="4" fontId="5" fillId="0" borderId="7" xfId="2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5" fillId="0" borderId="21" xfId="0" applyNumberFormat="1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vertical="center" wrapText="1"/>
    </xf>
    <xf numFmtId="4" fontId="5" fillId="0" borderId="24" xfId="0" applyNumberFormat="1" applyFont="1" applyFill="1" applyBorder="1" applyAlignment="1">
      <alignment vertical="center" wrapText="1"/>
    </xf>
    <xf numFmtId="0" fontId="12" fillId="0" borderId="3" xfId="1" applyFont="1" applyFill="1" applyBorder="1" applyAlignment="1">
      <alignment vertical="center" wrapText="1"/>
    </xf>
    <xf numFmtId="4" fontId="5" fillId="0" borderId="12" xfId="2" applyNumberFormat="1" applyFont="1" applyFill="1" applyBorder="1" applyAlignment="1">
      <alignment vertical="center" wrapText="1"/>
    </xf>
    <xf numFmtId="4" fontId="5" fillId="0" borderId="16" xfId="2" applyNumberFormat="1" applyFont="1" applyFill="1" applyBorder="1" applyAlignment="1">
      <alignment vertical="center" wrapText="1"/>
    </xf>
    <xf numFmtId="4" fontId="5" fillId="0" borderId="25" xfId="2" applyNumberFormat="1" applyFont="1" applyFill="1" applyBorder="1" applyAlignment="1">
      <alignment vertical="center" wrapText="1"/>
    </xf>
    <xf numFmtId="4" fontId="5" fillId="0" borderId="9" xfId="2" applyNumberFormat="1" applyFont="1" applyFill="1" applyBorder="1" applyAlignment="1">
      <alignment vertical="center" wrapText="1"/>
    </xf>
    <xf numFmtId="4" fontId="5" fillId="0" borderId="22" xfId="0" applyNumberFormat="1" applyFont="1" applyFill="1" applyBorder="1" applyAlignment="1">
      <alignment vertical="center" wrapText="1"/>
    </xf>
    <xf numFmtId="43" fontId="5" fillId="0" borderId="7" xfId="0" applyNumberFormat="1" applyFont="1" applyFill="1" applyBorder="1" applyAlignment="1">
      <alignment vertical="center" wrapText="1"/>
    </xf>
    <xf numFmtId="43" fontId="5" fillId="0" borderId="7" xfId="2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0" fontId="17" fillId="0" borderId="0" xfId="0" applyFont="1"/>
    <xf numFmtId="4" fontId="17" fillId="0" borderId="0" xfId="0" applyNumberFormat="1" applyFont="1"/>
    <xf numFmtId="0" fontId="17" fillId="0" borderId="12" xfId="0" applyFont="1" applyBorder="1" applyAlignment="1">
      <alignment horizontal="center" vertical="center" wrapText="1"/>
    </xf>
    <xf numFmtId="4" fontId="17" fillId="0" borderId="31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4" fontId="17" fillId="3" borderId="0" xfId="0" applyNumberFormat="1" applyFont="1" applyFill="1" applyBorder="1" applyAlignment="1"/>
    <xf numFmtId="4" fontId="17" fillId="3" borderId="0" xfId="0" applyNumberFormat="1" applyFont="1" applyFill="1" applyAlignment="1">
      <alignment horizontal="center"/>
    </xf>
    <xf numFmtId="4" fontId="17" fillId="0" borderId="12" xfId="0" applyNumberFormat="1" applyFont="1" applyBorder="1"/>
    <xf numFmtId="4" fontId="17" fillId="0" borderId="31" xfId="0" applyNumberFormat="1" applyFont="1" applyBorder="1"/>
    <xf numFmtId="4" fontId="18" fillId="4" borderId="12" xfId="2" applyNumberFormat="1" applyFont="1" applyFill="1" applyBorder="1" applyAlignment="1">
      <alignment horizontal="right"/>
    </xf>
    <xf numFmtId="0" fontId="17" fillId="5" borderId="31" xfId="0" applyFont="1" applyFill="1" applyBorder="1" applyAlignment="1">
      <alignment wrapText="1"/>
    </xf>
    <xf numFmtId="4" fontId="17" fillId="0" borderId="31" xfId="2" applyNumberFormat="1" applyFont="1" applyBorder="1" applyAlignment="1">
      <alignment horizontal="right"/>
    </xf>
    <xf numFmtId="0" fontId="17" fillId="0" borderId="31" xfId="0" applyFont="1" applyFill="1" applyBorder="1" applyAlignment="1">
      <alignment wrapText="1"/>
    </xf>
    <xf numFmtId="4" fontId="17" fillId="0" borderId="31" xfId="2" applyNumberFormat="1" applyFont="1" applyFill="1" applyBorder="1" applyAlignment="1">
      <alignment horizontal="right"/>
    </xf>
    <xf numFmtId="4" fontId="18" fillId="2" borderId="12" xfId="0" applyNumberFormat="1" applyFont="1" applyFill="1" applyBorder="1" applyAlignment="1" applyProtection="1">
      <alignment horizontal="left" vertical="center" wrapText="1"/>
    </xf>
    <xf numFmtId="4" fontId="18" fillId="2" borderId="31" xfId="2" applyNumberFormat="1" applyFont="1" applyFill="1" applyBorder="1" applyAlignment="1">
      <alignment horizontal="right"/>
    </xf>
    <xf numFmtId="4" fontId="18" fillId="2" borderId="12" xfId="2" applyNumberFormat="1" applyFont="1" applyFill="1" applyBorder="1" applyAlignment="1">
      <alignment horizontal="right"/>
    </xf>
    <xf numFmtId="4" fontId="17" fillId="3" borderId="33" xfId="0" applyNumberFormat="1" applyFont="1" applyFill="1" applyBorder="1" applyAlignment="1"/>
    <xf numFmtId="4" fontId="17" fillId="3" borderId="12" xfId="0" applyNumberFormat="1" applyFont="1" applyFill="1" applyBorder="1" applyAlignment="1">
      <alignment wrapText="1"/>
    </xf>
    <xf numFmtId="4" fontId="17" fillId="3" borderId="31" xfId="0" applyNumberFormat="1" applyFont="1" applyFill="1" applyBorder="1" applyAlignment="1">
      <alignment wrapText="1"/>
    </xf>
    <xf numFmtId="0" fontId="0" fillId="0" borderId="0" xfId="0" applyAlignment="1"/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43" fontId="1" fillId="0" borderId="12" xfId="2" applyFont="1" applyBorder="1" applyAlignment="1">
      <alignment vertical="top" wrapText="1"/>
    </xf>
    <xf numFmtId="165" fontId="1" fillId="0" borderId="12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3" fontId="1" fillId="0" borderId="7" xfId="2" applyFont="1" applyBorder="1" applyAlignment="1">
      <alignment vertical="top" wrapText="1"/>
    </xf>
    <xf numFmtId="0" fontId="0" fillId="0" borderId="29" xfId="0" applyBorder="1" applyAlignment="1"/>
    <xf numFmtId="0" fontId="1" fillId="0" borderId="31" xfId="0" applyFont="1" applyBorder="1" applyAlignment="1">
      <alignment horizontal="left" vertical="top" wrapText="1"/>
    </xf>
    <xf numFmtId="43" fontId="1" fillId="0" borderId="12" xfId="2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1" fontId="17" fillId="0" borderId="12" xfId="0" applyNumberFormat="1" applyFont="1" applyBorder="1" applyAlignment="1">
      <alignment horizontal="center" vertical="center" wrapText="1"/>
    </xf>
    <xf numFmtId="43" fontId="17" fillId="0" borderId="12" xfId="2" applyFont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43" fontId="17" fillId="0" borderId="12" xfId="2" applyFont="1" applyFill="1" applyBorder="1" applyAlignment="1">
      <alignment horizontal="center" vertical="center" wrapText="1"/>
    </xf>
    <xf numFmtId="43" fontId="1" fillId="0" borderId="12" xfId="2" applyFont="1" applyBorder="1" applyAlignment="1">
      <alignment horizontal="center" vertical="center" wrapText="1"/>
    </xf>
    <xf numFmtId="43" fontId="1" fillId="0" borderId="12" xfId="2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3" fontId="1" fillId="0" borderId="0" xfId="2" applyFont="1" applyBorder="1" applyAlignment="1">
      <alignment vertical="top" wrapText="1"/>
    </xf>
    <xf numFmtId="0" fontId="0" fillId="0" borderId="0" xfId="0" applyBorder="1"/>
    <xf numFmtId="0" fontId="1" fillId="0" borderId="32" xfId="0" applyFont="1" applyBorder="1" applyAlignment="1">
      <alignment horizontal="left" vertical="top" wrapText="1"/>
    </xf>
    <xf numFmtId="1" fontId="17" fillId="0" borderId="32" xfId="0" applyNumberFormat="1" applyFont="1" applyBorder="1" applyAlignment="1">
      <alignment horizontal="left" wrapText="1"/>
    </xf>
    <xf numFmtId="166" fontId="17" fillId="0" borderId="32" xfId="0" applyNumberFormat="1" applyFont="1" applyBorder="1" applyAlignment="1">
      <alignment horizontal="left" wrapText="1"/>
    </xf>
    <xf numFmtId="166" fontId="17" fillId="0" borderId="32" xfId="0" applyNumberFormat="1" applyFont="1" applyFill="1" applyBorder="1" applyAlignment="1">
      <alignment horizontal="left" wrapText="1"/>
    </xf>
    <xf numFmtId="0" fontId="21" fillId="4" borderId="12" xfId="3" applyFont="1" applyFill="1" applyBorder="1" applyAlignment="1">
      <alignment wrapText="1"/>
    </xf>
    <xf numFmtId="1" fontId="17" fillId="0" borderId="12" xfId="3" applyNumberFormat="1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1" fontId="17" fillId="0" borderId="12" xfId="3" applyNumberFormat="1" applyFont="1" applyFill="1" applyBorder="1" applyAlignment="1">
      <alignment horizontal="center" vertical="center" wrapText="1"/>
    </xf>
    <xf numFmtId="0" fontId="17" fillId="0" borderId="12" xfId="3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65" fontId="0" fillId="0" borderId="0" xfId="0" applyNumberFormat="1"/>
    <xf numFmtId="1" fontId="21" fillId="4" borderId="12" xfId="0" applyNumberFormat="1" applyFont="1" applyFill="1" applyBorder="1" applyAlignment="1">
      <alignment wrapText="1"/>
    </xf>
    <xf numFmtId="1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3" fontId="22" fillId="0" borderId="12" xfId="2" applyFont="1" applyBorder="1" applyAlignment="1">
      <alignment horizontal="center" vertical="center" wrapText="1"/>
    </xf>
    <xf numFmtId="2" fontId="21" fillId="4" borderId="12" xfId="0" applyNumberFormat="1" applyFont="1" applyFill="1" applyBorder="1" applyAlignment="1">
      <alignment wrapText="1"/>
    </xf>
    <xf numFmtId="0" fontId="21" fillId="0" borderId="12" xfId="3" applyFont="1" applyBorder="1" applyAlignment="1">
      <alignment horizontal="left" wrapText="1"/>
    </xf>
    <xf numFmtId="165" fontId="1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23" fillId="4" borderId="0" xfId="0" applyFont="1" applyFill="1" applyAlignment="1">
      <alignment horizontal="left" vertical="top"/>
    </xf>
    <xf numFmtId="0" fontId="23" fillId="4" borderId="0" xfId="0" applyFont="1" applyFill="1" applyBorder="1" applyAlignment="1">
      <alignment horizontal="left" vertical="top"/>
    </xf>
    <xf numFmtId="49" fontId="23" fillId="4" borderId="0" xfId="0" applyNumberFormat="1" applyFont="1" applyFill="1" applyBorder="1" applyAlignment="1">
      <alignment horizontal="left" vertical="top"/>
    </xf>
    <xf numFmtId="49" fontId="23" fillId="4" borderId="29" xfId="0" applyNumberFormat="1" applyFont="1" applyFill="1" applyBorder="1" applyAlignment="1">
      <alignment horizontal="left" vertical="top"/>
    </xf>
    <xf numFmtId="0" fontId="23" fillId="4" borderId="12" xfId="0" applyFont="1" applyFill="1" applyBorder="1" applyAlignment="1">
      <alignment horizontal="left" vertical="top" wrapText="1"/>
    </xf>
    <xf numFmtId="0" fontId="23" fillId="4" borderId="31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horizontal="left" vertical="top" wrapText="1"/>
    </xf>
    <xf numFmtId="0" fontId="23" fillId="4" borderId="12" xfId="0" applyFont="1" applyFill="1" applyBorder="1" applyAlignment="1">
      <alignment horizontal="left" vertical="top"/>
    </xf>
    <xf numFmtId="43" fontId="23" fillId="4" borderId="12" xfId="2" applyFont="1" applyFill="1" applyBorder="1" applyAlignment="1">
      <alignment horizontal="left" vertical="top"/>
    </xf>
    <xf numFmtId="43" fontId="23" fillId="4" borderId="0" xfId="2" applyFont="1" applyFill="1" applyBorder="1" applyAlignment="1">
      <alignment horizontal="left" vertical="top"/>
    </xf>
    <xf numFmtId="0" fontId="25" fillId="4" borderId="12" xfId="0" applyFont="1" applyFill="1" applyBorder="1" applyAlignment="1">
      <alignment horizontal="left" vertical="top"/>
    </xf>
    <xf numFmtId="4" fontId="25" fillId="4" borderId="12" xfId="2" applyNumberFormat="1" applyFont="1" applyFill="1" applyBorder="1" applyAlignment="1">
      <alignment horizontal="left" vertical="top"/>
    </xf>
    <xf numFmtId="4" fontId="25" fillId="4" borderId="0" xfId="2" applyNumberFormat="1" applyFont="1" applyFill="1" applyBorder="1" applyAlignment="1">
      <alignment horizontal="left" vertical="top"/>
    </xf>
    <xf numFmtId="0" fontId="26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left" vertical="top"/>
    </xf>
    <xf numFmtId="0" fontId="27" fillId="0" borderId="0" xfId="0" applyFont="1"/>
    <xf numFmtId="49" fontId="3" fillId="0" borderId="29" xfId="0" applyNumberFormat="1" applyFont="1" applyBorder="1"/>
    <xf numFmtId="0" fontId="27" fillId="0" borderId="0" xfId="0" applyFont="1" applyAlignment="1"/>
    <xf numFmtId="0" fontId="27" fillId="0" borderId="0" xfId="0" applyFont="1" applyBorder="1" applyAlignment="1"/>
    <xf numFmtId="0" fontId="3" fillId="0" borderId="12" xfId="0" applyFont="1" applyBorder="1" applyAlignment="1">
      <alignment horizontal="justify" vertical="top" wrapText="1"/>
    </xf>
    <xf numFmtId="43" fontId="3" fillId="0" borderId="12" xfId="2" applyFont="1" applyBorder="1" applyAlignment="1">
      <alignment horizontal="justify" vertical="top" wrapText="1"/>
    </xf>
    <xf numFmtId="0" fontId="18" fillId="3" borderId="33" xfId="0" applyFont="1" applyFill="1" applyBorder="1" applyAlignment="1"/>
    <xf numFmtId="4" fontId="17" fillId="4" borderId="31" xfId="2" applyNumberFormat="1" applyFont="1" applyFill="1" applyBorder="1" applyAlignment="1">
      <alignment horizontal="right"/>
    </xf>
    <xf numFmtId="49" fontId="18" fillId="2" borderId="12" xfId="0" applyNumberFormat="1" applyFont="1" applyFill="1" applyBorder="1" applyAlignment="1" applyProtection="1">
      <alignment horizontal="left" vertical="center" wrapText="1"/>
    </xf>
    <xf numFmtId="4" fontId="17" fillId="3" borderId="12" xfId="0" applyNumberFormat="1" applyFont="1" applyFill="1" applyBorder="1" applyAlignment="1">
      <alignment horizontal="center"/>
    </xf>
    <xf numFmtId="43" fontId="0" fillId="0" borderId="0" xfId="0" applyNumberFormat="1"/>
    <xf numFmtId="43" fontId="1" fillId="0" borderId="12" xfId="2" applyFont="1" applyFill="1" applyBorder="1" applyAlignment="1">
      <alignment horizontal="center" vertical="top" wrapText="1"/>
    </xf>
    <xf numFmtId="0" fontId="32" fillId="4" borderId="12" xfId="4" applyFont="1" applyFill="1" applyBorder="1"/>
    <xf numFmtId="0" fontId="32" fillId="4" borderId="12" xfId="4" applyFont="1" applyFill="1" applyBorder="1" applyAlignment="1">
      <alignment horizontal="center"/>
    </xf>
    <xf numFmtId="4" fontId="32" fillId="0" borderId="12" xfId="4" applyNumberFormat="1" applyFont="1" applyFill="1" applyBorder="1" applyAlignment="1">
      <alignment horizontal="center"/>
    </xf>
    <xf numFmtId="4" fontId="32" fillId="4" borderId="12" xfId="4" applyNumberFormat="1" applyFont="1" applyFill="1" applyBorder="1" applyAlignment="1">
      <alignment horizontal="center"/>
    </xf>
    <xf numFmtId="0" fontId="21" fillId="4" borderId="12" xfId="5" applyFont="1" applyFill="1" applyBorder="1" applyAlignment="1">
      <alignment horizontal="center" vertical="center"/>
    </xf>
    <xf numFmtId="0" fontId="21" fillId="4" borderId="0" xfId="5" applyFont="1" applyFill="1" applyAlignment="1">
      <alignment vertical="center" wrapText="1"/>
    </xf>
    <xf numFmtId="0" fontId="21" fillId="4" borderId="35" xfId="5" applyFont="1" applyFill="1" applyBorder="1" applyAlignment="1">
      <alignment horizontal="center" vertical="center"/>
    </xf>
    <xf numFmtId="4" fontId="21" fillId="4" borderId="36" xfId="5" applyNumberFormat="1" applyFont="1" applyFill="1" applyBorder="1" applyAlignment="1">
      <alignment horizontal="center" vertical="center"/>
    </xf>
    <xf numFmtId="4" fontId="21" fillId="4" borderId="12" xfId="5" applyNumberFormat="1" applyFont="1" applyFill="1" applyBorder="1" applyAlignment="1">
      <alignment horizontal="center" vertical="center"/>
    </xf>
    <xf numFmtId="0" fontId="21" fillId="4" borderId="12" xfId="5" applyFont="1" applyFill="1" applyBorder="1" applyAlignment="1">
      <alignment vertical="center" wrapText="1"/>
    </xf>
    <xf numFmtId="0" fontId="21" fillId="4" borderId="12" xfId="5" applyFont="1" applyFill="1" applyBorder="1" applyAlignment="1">
      <alignment horizontal="center" vertical="center" wrapText="1"/>
    </xf>
    <xf numFmtId="4" fontId="21" fillId="4" borderId="12" xfId="5" applyNumberFormat="1" applyFont="1" applyFill="1" applyBorder="1" applyAlignment="1">
      <alignment horizontal="center" vertical="center" wrapText="1"/>
    </xf>
    <xf numFmtId="0" fontId="21" fillId="0" borderId="12" xfId="5" applyFont="1" applyFill="1" applyBorder="1" applyAlignment="1">
      <alignment horizontal="left" vertical="center" wrapText="1"/>
    </xf>
    <xf numFmtId="0" fontId="21" fillId="0" borderId="12" xfId="5" applyFont="1" applyFill="1" applyBorder="1" applyAlignment="1">
      <alignment horizontal="center" vertical="center" wrapText="1"/>
    </xf>
    <xf numFmtId="4" fontId="21" fillId="0" borderId="12" xfId="5" applyNumberFormat="1" applyFont="1" applyFill="1" applyBorder="1" applyAlignment="1">
      <alignment horizontal="center" vertical="center" wrapText="1"/>
    </xf>
    <xf numFmtId="4" fontId="34" fillId="0" borderId="12" xfId="5" applyNumberFormat="1" applyFont="1" applyFill="1" applyBorder="1" applyAlignment="1">
      <alignment horizontal="center"/>
    </xf>
    <xf numFmtId="4" fontId="32" fillId="4" borderId="31" xfId="4" applyNumberFormat="1" applyFont="1" applyFill="1" applyBorder="1" applyAlignment="1">
      <alignment horizontal="center"/>
    </xf>
    <xf numFmtId="4" fontId="21" fillId="4" borderId="31" xfId="5" applyNumberFormat="1" applyFont="1" applyFill="1" applyBorder="1" applyAlignment="1">
      <alignment horizontal="center" vertical="center"/>
    </xf>
    <xf numFmtId="4" fontId="34" fillId="0" borderId="31" xfId="5" applyNumberFormat="1" applyFont="1" applyFill="1" applyBorder="1" applyAlignment="1">
      <alignment horizontal="center"/>
    </xf>
    <xf numFmtId="2" fontId="21" fillId="4" borderId="0" xfId="5" applyNumberFormat="1" applyFont="1" applyFill="1" applyBorder="1" applyAlignment="1">
      <alignment vertical="center"/>
    </xf>
    <xf numFmtId="0" fontId="21" fillId="4" borderId="0" xfId="5" applyNumberFormat="1" applyFont="1" applyFill="1" applyBorder="1" applyAlignment="1">
      <alignment horizontal="center" vertical="center"/>
    </xf>
    <xf numFmtId="2" fontId="21" fillId="4" borderId="0" xfId="5" applyNumberFormat="1" applyFont="1" applyFill="1" applyBorder="1" applyAlignment="1">
      <alignment horizontal="center" vertical="center"/>
    </xf>
    <xf numFmtId="0" fontId="21" fillId="4" borderId="0" xfId="5" applyFont="1" applyFill="1" applyBorder="1" applyAlignment="1">
      <alignment horizontal="center" vertical="center"/>
    </xf>
    <xf numFmtId="49" fontId="31" fillId="4" borderId="0" xfId="4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/>
    <xf numFmtId="0" fontId="32" fillId="4" borderId="12" xfId="4" applyFont="1" applyFill="1" applyBorder="1" applyAlignment="1">
      <alignment vertical="center" wrapText="1"/>
    </xf>
    <xf numFmtId="0" fontId="32" fillId="4" borderId="12" xfId="4" applyFont="1" applyFill="1" applyBorder="1" applyAlignment="1">
      <alignment horizontal="center" vertical="center" wrapText="1"/>
    </xf>
    <xf numFmtId="4" fontId="32" fillId="4" borderId="12" xfId="4" applyNumberFormat="1" applyFont="1" applyFill="1" applyBorder="1" applyAlignment="1">
      <alignment horizontal="center" vertical="center" wrapText="1"/>
    </xf>
    <xf numFmtId="0" fontId="21" fillId="4" borderId="12" xfId="5" applyFont="1" applyFill="1" applyBorder="1" applyAlignment="1">
      <alignment vertical="center"/>
    </xf>
    <xf numFmtId="0" fontId="21" fillId="4" borderId="12" xfId="5" applyFont="1" applyFill="1" applyBorder="1" applyAlignment="1">
      <alignment horizontal="left" vertical="center" wrapText="1"/>
    </xf>
    <xf numFmtId="0" fontId="30" fillId="4" borderId="12" xfId="5" applyFont="1" applyFill="1" applyBorder="1" applyAlignment="1">
      <alignment horizontal="left" vertical="center" wrapText="1"/>
    </xf>
    <xf numFmtId="0" fontId="30" fillId="4" borderId="12" xfId="5" applyFont="1" applyFill="1" applyBorder="1" applyAlignment="1">
      <alignment horizontal="center" vertical="center" wrapText="1"/>
    </xf>
    <xf numFmtId="0" fontId="21" fillId="4" borderId="12" xfId="5" applyFont="1" applyFill="1" applyBorder="1" applyAlignment="1">
      <alignment vertical="center" wrapText="1" shrinkToFit="1"/>
    </xf>
    <xf numFmtId="0" fontId="21" fillId="4" borderId="12" xfId="5" applyFont="1" applyFill="1" applyBorder="1" applyAlignment="1">
      <alignment horizontal="justify" vertical="center"/>
    </xf>
    <xf numFmtId="0" fontId="34" fillId="4" borderId="12" xfId="5" applyFont="1" applyFill="1" applyBorder="1" applyAlignment="1">
      <alignment horizontal="center" vertical="center" wrapText="1"/>
    </xf>
    <xf numFmtId="0" fontId="34" fillId="4" borderId="31" xfId="5" applyFont="1" applyFill="1" applyBorder="1" applyAlignment="1">
      <alignment horizontal="right" vertical="center" wrapText="1"/>
    </xf>
    <xf numFmtId="0" fontId="34" fillId="4" borderId="33" xfId="5" applyFont="1" applyFill="1" applyBorder="1" applyAlignment="1">
      <alignment horizontal="right" vertical="center" wrapText="1"/>
    </xf>
    <xf numFmtId="0" fontId="34" fillId="4" borderId="34" xfId="5" applyFont="1" applyFill="1" applyBorder="1" applyAlignment="1">
      <alignment horizontal="right" vertical="center" wrapText="1"/>
    </xf>
    <xf numFmtId="4" fontId="34" fillId="4" borderId="12" xfId="5" applyNumberFormat="1" applyFont="1" applyFill="1" applyBorder="1" applyAlignment="1">
      <alignment horizontal="center" vertical="center" wrapText="1"/>
    </xf>
    <xf numFmtId="0" fontId="37" fillId="4" borderId="12" xfId="5" applyFont="1" applyFill="1" applyBorder="1" applyAlignment="1">
      <alignment horizontal="center" vertical="center" wrapText="1"/>
    </xf>
    <xf numFmtId="0" fontId="37" fillId="4" borderId="12" xfId="5" applyFont="1" applyFill="1" applyBorder="1" applyAlignment="1">
      <alignment horizontal="right" vertical="center" wrapText="1"/>
    </xf>
    <xf numFmtId="0" fontId="34" fillId="4" borderId="12" xfId="5" applyFont="1" applyFill="1" applyBorder="1" applyAlignment="1">
      <alignment horizontal="center" vertical="center"/>
    </xf>
    <xf numFmtId="0" fontId="37" fillId="4" borderId="12" xfId="5" applyFont="1" applyFill="1" applyBorder="1" applyAlignment="1">
      <alignment horizontal="center" vertical="center"/>
    </xf>
    <xf numFmtId="0" fontId="37" fillId="4" borderId="12" xfId="5" applyFont="1" applyFill="1" applyBorder="1" applyAlignment="1">
      <alignment horizontal="right" vertical="center"/>
    </xf>
    <xf numFmtId="4" fontId="34" fillId="4" borderId="12" xfId="5" applyNumberFormat="1" applyFont="1" applyFill="1" applyBorder="1" applyAlignment="1">
      <alignment horizontal="center" vertical="center"/>
    </xf>
    <xf numFmtId="0" fontId="37" fillId="2" borderId="31" xfId="5" applyFont="1" applyFill="1" applyBorder="1" applyAlignment="1">
      <alignment horizontal="center" vertical="center"/>
    </xf>
    <xf numFmtId="0" fontId="37" fillId="2" borderId="33" xfId="5" applyFont="1" applyFill="1" applyBorder="1" applyAlignment="1">
      <alignment horizontal="right" vertical="center"/>
    </xf>
    <xf numFmtId="0" fontId="37" fillId="2" borderId="33" xfId="5" applyFont="1" applyFill="1" applyBorder="1" applyAlignment="1">
      <alignment horizontal="center" vertical="center"/>
    </xf>
    <xf numFmtId="0" fontId="21" fillId="4" borderId="0" xfId="5" applyFont="1" applyFill="1" applyBorder="1" applyAlignment="1">
      <alignment vertical="center"/>
    </xf>
    <xf numFmtId="0" fontId="21" fillId="4" borderId="0" xfId="5" applyFont="1" applyFill="1" applyBorder="1" applyAlignment="1">
      <alignment horizontal="center" vertical="center" wrapText="1"/>
    </xf>
    <xf numFmtId="2" fontId="21" fillId="4" borderId="0" xfId="5" applyNumberFormat="1" applyFont="1" applyFill="1" applyBorder="1" applyAlignment="1">
      <alignment horizontal="center" vertical="center" wrapText="1"/>
    </xf>
    <xf numFmtId="0" fontId="21" fillId="4" borderId="0" xfId="5" applyFont="1" applyFill="1" applyBorder="1" applyAlignment="1">
      <alignment horizontal="left" vertical="center" wrapText="1"/>
    </xf>
    <xf numFmtId="0" fontId="21" fillId="4" borderId="0" xfId="5" applyFont="1" applyFill="1" applyBorder="1" applyAlignment="1">
      <alignment vertical="center" wrapText="1"/>
    </xf>
    <xf numFmtId="0" fontId="30" fillId="4" borderId="0" xfId="5" applyFont="1" applyFill="1" applyBorder="1" applyAlignment="1">
      <alignment horizontal="left" vertical="center"/>
    </xf>
    <xf numFmtId="0" fontId="32" fillId="4" borderId="0" xfId="5" applyFont="1" applyFill="1" applyBorder="1" applyAlignment="1">
      <alignment horizontal="left" vertical="center"/>
    </xf>
    <xf numFmtId="0" fontId="30" fillId="4" borderId="0" xfId="5" applyFont="1" applyFill="1" applyBorder="1" applyAlignment="1">
      <alignment horizontal="center" vertical="center"/>
    </xf>
    <xf numFmtId="2" fontId="30" fillId="4" borderId="0" xfId="5" applyNumberFormat="1" applyFont="1" applyFill="1" applyBorder="1" applyAlignment="1">
      <alignment horizontal="center" vertical="center"/>
    </xf>
    <xf numFmtId="0" fontId="36" fillId="4" borderId="0" xfId="5" applyFont="1" applyFill="1" applyBorder="1" applyAlignment="1">
      <alignment vertical="center"/>
    </xf>
    <xf numFmtId="0" fontId="36" fillId="4" borderId="0" xfId="5" applyFont="1" applyFill="1" applyBorder="1" applyAlignment="1">
      <alignment horizontal="center" vertical="center"/>
    </xf>
    <xf numFmtId="2" fontId="36" fillId="4" borderId="0" xfId="5" applyNumberFormat="1" applyFont="1" applyFill="1" applyBorder="1" applyAlignment="1">
      <alignment horizontal="center" vertical="center" wrapText="1"/>
    </xf>
    <xf numFmtId="0" fontId="21" fillId="0" borderId="0" xfId="5" applyFont="1" applyFill="1" applyBorder="1" applyAlignment="1">
      <alignment vertical="center"/>
    </xf>
    <xf numFmtId="0" fontId="21" fillId="0" borderId="0" xfId="5" applyFont="1" applyFill="1" applyBorder="1" applyAlignment="1">
      <alignment horizontal="center" vertical="center"/>
    </xf>
    <xf numFmtId="2" fontId="21" fillId="0" borderId="0" xfId="5" applyNumberFormat="1" applyFont="1" applyFill="1" applyBorder="1" applyAlignment="1">
      <alignment horizontal="center" vertical="center" wrapText="1"/>
    </xf>
    <xf numFmtId="4" fontId="32" fillId="4" borderId="31" xfId="4" applyNumberFormat="1" applyFont="1" applyFill="1" applyBorder="1" applyAlignment="1">
      <alignment horizontal="center" vertical="center" wrapText="1"/>
    </xf>
    <xf numFmtId="4" fontId="34" fillId="4" borderId="31" xfId="5" applyNumberFormat="1" applyFont="1" applyFill="1" applyBorder="1" applyAlignment="1">
      <alignment horizontal="center" vertical="center" wrapText="1"/>
    </xf>
    <xf numFmtId="0" fontId="34" fillId="4" borderId="0" xfId="5" applyFont="1" applyFill="1" applyBorder="1" applyAlignment="1">
      <alignment vertical="center" wrapText="1"/>
    </xf>
    <xf numFmtId="2" fontId="34" fillId="4" borderId="0" xfId="5" applyNumberFormat="1" applyFont="1" applyFill="1" applyBorder="1" applyAlignment="1">
      <alignment horizontal="center" vertical="center" wrapText="1"/>
    </xf>
    <xf numFmtId="4" fontId="34" fillId="0" borderId="31" xfId="5" applyNumberFormat="1" applyFont="1" applyFill="1" applyBorder="1" applyAlignment="1">
      <alignment horizontal="center" vertical="center" wrapText="1"/>
    </xf>
    <xf numFmtId="0" fontId="34" fillId="4" borderId="0" xfId="5" applyFont="1" applyFill="1" applyBorder="1" applyAlignment="1">
      <alignment horizontal="left" vertical="center" wrapText="1"/>
    </xf>
    <xf numFmtId="0" fontId="34" fillId="4" borderId="0" xfId="5" applyFont="1" applyFill="1" applyBorder="1" applyAlignment="1">
      <alignment horizontal="center" vertical="center"/>
    </xf>
    <xf numFmtId="2" fontId="34" fillId="4" borderId="0" xfId="5" applyNumberFormat="1" applyFont="1" applyFill="1" applyBorder="1" applyAlignment="1">
      <alignment horizontal="center" vertical="center"/>
    </xf>
    <xf numFmtId="0" fontId="37" fillId="4" borderId="0" xfId="5" applyFont="1" applyFill="1" applyBorder="1" applyAlignment="1">
      <alignment vertical="center" wrapText="1"/>
    </xf>
    <xf numFmtId="3" fontId="34" fillId="4" borderId="0" xfId="5" applyNumberFormat="1" applyFont="1" applyFill="1" applyBorder="1" applyAlignment="1">
      <alignment vertical="center" wrapText="1"/>
    </xf>
    <xf numFmtId="2" fontId="37" fillId="4" borderId="0" xfId="5" applyNumberFormat="1" applyFont="1" applyFill="1" applyBorder="1" applyAlignment="1">
      <alignment horizontal="center" vertical="center" wrapText="1"/>
    </xf>
    <xf numFmtId="2" fontId="34" fillId="4" borderId="0" xfId="5" applyNumberFormat="1" applyFont="1" applyFill="1" applyBorder="1" applyAlignment="1">
      <alignment vertical="center" wrapText="1"/>
    </xf>
    <xf numFmtId="0" fontId="37" fillId="0" borderId="29" xfId="5" applyFont="1" applyFill="1" applyBorder="1" applyAlignment="1">
      <alignment vertical="center" wrapText="1"/>
    </xf>
    <xf numFmtId="3" fontId="34" fillId="0" borderId="29" xfId="5" applyNumberFormat="1" applyFont="1" applyFill="1" applyBorder="1" applyAlignment="1">
      <alignment vertical="center" wrapText="1"/>
    </xf>
    <xf numFmtId="2" fontId="37" fillId="0" borderId="29" xfId="5" applyNumberFormat="1" applyFont="1" applyFill="1" applyBorder="1" applyAlignment="1">
      <alignment horizontal="center" vertical="center" wrapText="1"/>
    </xf>
    <xf numFmtId="2" fontId="34" fillId="0" borderId="38" xfId="5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26" fillId="4" borderId="0" xfId="0" applyFont="1" applyFill="1"/>
    <xf numFmtId="0" fontId="27" fillId="0" borderId="29" xfId="0" applyFont="1" applyBorder="1" applyAlignment="1"/>
    <xf numFmtId="0" fontId="27" fillId="0" borderId="0" xfId="0" applyFont="1" applyAlignment="1">
      <alignment vertical="center"/>
    </xf>
    <xf numFmtId="0" fontId="0" fillId="0" borderId="29" xfId="0" applyBorder="1"/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65" fontId="3" fillId="0" borderId="12" xfId="0" applyNumberFormat="1" applyFont="1" applyBorder="1" applyAlignment="1">
      <alignment horizontal="center" wrapText="1"/>
    </xf>
    <xf numFmtId="43" fontId="3" fillId="0" borderId="12" xfId="2" applyFont="1" applyBorder="1" applyAlignment="1">
      <alignment horizontal="center" wrapText="1"/>
    </xf>
    <xf numFmtId="43" fontId="3" fillId="0" borderId="0" xfId="2" applyFont="1" applyBorder="1" applyAlignment="1">
      <alignment horizontal="center" wrapText="1"/>
    </xf>
    <xf numFmtId="0" fontId="26" fillId="4" borderId="0" xfId="0" applyFont="1" applyFill="1" applyAlignment="1">
      <alignment vertical="top"/>
    </xf>
    <xf numFmtId="0" fontId="32" fillId="4" borderId="12" xfId="4" applyFont="1" applyFill="1" applyBorder="1" applyAlignment="1">
      <alignment vertical="center"/>
    </xf>
    <xf numFmtId="0" fontId="32" fillId="4" borderId="12" xfId="4" applyFont="1" applyFill="1" applyBorder="1" applyAlignment="1">
      <alignment horizontal="center" vertical="center"/>
    </xf>
    <xf numFmtId="4" fontId="32" fillId="4" borderId="12" xfId="4" applyNumberFormat="1" applyFont="1" applyFill="1" applyBorder="1" applyAlignment="1">
      <alignment horizontal="center" vertical="center"/>
    </xf>
    <xf numFmtId="0" fontId="21" fillId="4" borderId="12" xfId="5" applyFont="1" applyFill="1" applyBorder="1" applyAlignment="1">
      <alignment horizontal="justify" vertical="center" wrapText="1"/>
    </xf>
    <xf numFmtId="0" fontId="37" fillId="4" borderId="12" xfId="5" applyFont="1" applyFill="1" applyBorder="1" applyAlignment="1">
      <alignment vertical="center"/>
    </xf>
    <xf numFmtId="0" fontId="34" fillId="4" borderId="12" xfId="5" applyFont="1" applyFill="1" applyBorder="1" applyAlignment="1">
      <alignment vertical="center"/>
    </xf>
    <xf numFmtId="0" fontId="35" fillId="4" borderId="0" xfId="5" applyFont="1" applyFill="1" applyBorder="1" applyAlignment="1">
      <alignment vertical="center"/>
    </xf>
    <xf numFmtId="2" fontId="35" fillId="4" borderId="0" xfId="5" applyNumberFormat="1" applyFont="1" applyFill="1" applyBorder="1" applyAlignment="1">
      <alignment horizontal="center" vertical="center"/>
    </xf>
    <xf numFmtId="0" fontId="37" fillId="4" borderId="0" xfId="5" applyFont="1" applyFill="1" applyBorder="1" applyAlignment="1">
      <alignment vertical="center"/>
    </xf>
    <xf numFmtId="2" fontId="37" fillId="4" borderId="0" xfId="5" applyNumberFormat="1" applyFont="1" applyFill="1" applyBorder="1" applyAlignment="1">
      <alignment horizontal="center" vertical="center"/>
    </xf>
    <xf numFmtId="0" fontId="31" fillId="4" borderId="31" xfId="4" applyFont="1" applyFill="1" applyBorder="1" applyAlignment="1">
      <alignment horizontal="center" vertical="center"/>
    </xf>
    <xf numFmtId="0" fontId="31" fillId="4" borderId="33" xfId="4" applyFont="1" applyFill="1" applyBorder="1" applyAlignment="1">
      <alignment horizontal="center" vertical="center"/>
    </xf>
    <xf numFmtId="0" fontId="31" fillId="4" borderId="0" xfId="4" applyFont="1" applyFill="1" applyBorder="1" applyAlignment="1">
      <alignment horizontal="center" vertical="center"/>
    </xf>
    <xf numFmtId="0" fontId="32" fillId="4" borderId="40" xfId="4" applyFont="1" applyFill="1" applyBorder="1"/>
    <xf numFmtId="0" fontId="32" fillId="4" borderId="35" xfId="4" applyFont="1" applyFill="1" applyBorder="1" applyAlignment="1">
      <alignment horizontal="center"/>
    </xf>
    <xf numFmtId="4" fontId="32" fillId="4" borderId="12" xfId="4" applyNumberFormat="1" applyFont="1" applyFill="1" applyBorder="1" applyAlignment="1"/>
    <xf numFmtId="0" fontId="30" fillId="4" borderId="12" xfId="4" applyFont="1" applyFill="1" applyBorder="1"/>
    <xf numFmtId="0" fontId="30" fillId="4" borderId="41" xfId="4" applyFont="1" applyFill="1" applyBorder="1" applyAlignment="1">
      <alignment horizontal="center"/>
    </xf>
    <xf numFmtId="4" fontId="30" fillId="4" borderId="0" xfId="4" applyNumberFormat="1" applyFont="1" applyFill="1" applyBorder="1" applyAlignment="1">
      <alignment horizontal="center"/>
    </xf>
    <xf numFmtId="4" fontId="21" fillId="4" borderId="15" xfId="5" applyNumberFormat="1" applyFont="1" applyFill="1" applyBorder="1" applyAlignment="1">
      <alignment horizontal="center" vertical="center"/>
    </xf>
    <xf numFmtId="0" fontId="30" fillId="4" borderId="12" xfId="4" applyFont="1" applyFill="1" applyBorder="1" applyAlignment="1">
      <alignment wrapText="1"/>
    </xf>
    <xf numFmtId="0" fontId="30" fillId="4" borderId="34" xfId="4" applyFont="1" applyFill="1" applyBorder="1" applyAlignment="1">
      <alignment horizontal="center" wrapText="1"/>
    </xf>
    <xf numFmtId="4" fontId="30" fillId="4" borderId="12" xfId="4" applyNumberFormat="1" applyFont="1" applyFill="1" applyBorder="1" applyAlignment="1">
      <alignment horizontal="center" wrapText="1"/>
    </xf>
    <xf numFmtId="0" fontId="21" fillId="4" borderId="12" xfId="5" applyFont="1" applyFill="1" applyBorder="1"/>
    <xf numFmtId="0" fontId="21" fillId="4" borderId="42" xfId="5" applyFont="1" applyFill="1" applyBorder="1" applyAlignment="1">
      <alignment horizontal="center"/>
    </xf>
    <xf numFmtId="4" fontId="34" fillId="4" borderId="43" xfId="5" applyNumberFormat="1" applyFont="1" applyFill="1" applyBorder="1" applyAlignment="1">
      <alignment horizontal="center"/>
    </xf>
    <xf numFmtId="0" fontId="32" fillId="4" borderId="29" xfId="4" applyFont="1" applyFill="1" applyBorder="1" applyAlignment="1">
      <alignment vertical="center" wrapText="1"/>
    </xf>
    <xf numFmtId="0" fontId="32" fillId="4" borderId="38" xfId="4" applyFont="1" applyFill="1" applyBorder="1" applyAlignment="1">
      <alignment vertical="center" wrapText="1"/>
    </xf>
    <xf numFmtId="0" fontId="32" fillId="4" borderId="0" xfId="4" applyFont="1" applyFill="1" applyBorder="1" applyAlignment="1">
      <alignment horizontal="center" vertical="center" wrapText="1"/>
    </xf>
    <xf numFmtId="0" fontId="32" fillId="4" borderId="44" xfId="4" applyFont="1" applyFill="1" applyBorder="1"/>
    <xf numFmtId="0" fontId="32" fillId="4" borderId="43" xfId="4" applyFont="1" applyFill="1" applyBorder="1" applyAlignment="1">
      <alignment horizontal="center"/>
    </xf>
    <xf numFmtId="0" fontId="21" fillId="4" borderId="12" xfId="5" applyFont="1" applyFill="1" applyBorder="1" applyAlignment="1">
      <alignment horizontal="center"/>
    </xf>
    <xf numFmtId="4" fontId="3" fillId="4" borderId="12" xfId="5" applyNumberFormat="1" applyFont="1" applyFill="1" applyBorder="1" applyAlignment="1">
      <alignment horizontal="center" vertical="center"/>
    </xf>
    <xf numFmtId="4" fontId="34" fillId="4" borderId="12" xfId="4" applyNumberFormat="1" applyFont="1" applyFill="1" applyBorder="1" applyAlignment="1">
      <alignment horizontal="center"/>
    </xf>
    <xf numFmtId="0" fontId="32" fillId="4" borderId="0" xfId="4" applyFont="1" applyFill="1" applyBorder="1" applyAlignment="1"/>
    <xf numFmtId="0" fontId="32" fillId="4" borderId="0" xfId="4" applyNumberFormat="1" applyFont="1" applyFill="1" applyBorder="1" applyAlignment="1">
      <alignment horizontal="center"/>
    </xf>
    <xf numFmtId="2" fontId="35" fillId="4" borderId="0" xfId="5" applyNumberFormat="1" applyFont="1" applyFill="1" applyBorder="1" applyAlignment="1">
      <alignment horizontal="center"/>
    </xf>
    <xf numFmtId="2" fontId="3" fillId="4" borderId="0" xfId="5" applyNumberFormat="1" applyFont="1" applyFill="1" applyBorder="1" applyAlignment="1">
      <alignment horizontal="center" vertical="center"/>
    </xf>
    <xf numFmtId="0" fontId="3" fillId="4" borderId="0" xfId="5" applyNumberFormat="1" applyFont="1" applyFill="1" applyBorder="1" applyAlignment="1">
      <alignment horizontal="center" vertical="center"/>
    </xf>
    <xf numFmtId="2" fontId="21" fillId="4" borderId="0" xfId="5" applyNumberFormat="1" applyFont="1" applyFill="1" applyBorder="1" applyAlignment="1">
      <alignment horizontal="center"/>
    </xf>
    <xf numFmtId="0" fontId="34" fillId="4" borderId="0" xfId="4" applyFont="1" applyFill="1" applyBorder="1" applyAlignment="1"/>
    <xf numFmtId="0" fontId="34" fillId="4" borderId="0" xfId="4" applyNumberFormat="1" applyFont="1" applyFill="1" applyBorder="1" applyAlignment="1">
      <alignment horizontal="center"/>
    </xf>
    <xf numFmtId="2" fontId="34" fillId="4" borderId="0" xfId="5" applyNumberFormat="1" applyFont="1" applyFill="1" applyBorder="1" applyAlignment="1">
      <alignment horizontal="center"/>
    </xf>
    <xf numFmtId="0" fontId="31" fillId="4" borderId="0" xfId="5" applyFont="1" applyFill="1" applyBorder="1" applyAlignment="1">
      <alignment horizontal="center" vertical="center"/>
    </xf>
    <xf numFmtId="0" fontId="30" fillId="4" borderId="43" xfId="4" applyFont="1" applyFill="1" applyBorder="1" applyAlignment="1">
      <alignment horizontal="center" vertical="center"/>
    </xf>
    <xf numFmtId="0" fontId="32" fillId="0" borderId="0" xfId="4" applyFont="1" applyFill="1" applyBorder="1" applyAlignment="1">
      <alignment horizontal="center"/>
    </xf>
    <xf numFmtId="0" fontId="32" fillId="0" borderId="0" xfId="4" applyNumberFormat="1" applyFont="1" applyFill="1" applyBorder="1" applyAlignment="1">
      <alignment horizontal="center"/>
    </xf>
    <xf numFmtId="2" fontId="35" fillId="0" borderId="0" xfId="5" applyNumberFormat="1" applyFont="1" applyFill="1" applyBorder="1" applyAlignment="1">
      <alignment horizontal="center"/>
    </xf>
    <xf numFmtId="0" fontId="21" fillId="0" borderId="0" xfId="5" applyNumberFormat="1" applyFont="1" applyFill="1" applyBorder="1" applyAlignment="1">
      <alignment horizontal="center" vertical="center"/>
    </xf>
    <xf numFmtId="2" fontId="21" fillId="0" borderId="0" xfId="5" applyNumberFormat="1" applyFont="1" applyFill="1" applyBorder="1" applyAlignment="1">
      <alignment horizontal="center" vertical="center"/>
    </xf>
    <xf numFmtId="2" fontId="34" fillId="0" borderId="0" xfId="5" applyNumberFormat="1" applyFont="1" applyFill="1" applyBorder="1" applyAlignment="1">
      <alignment horizontal="center" vertical="center"/>
    </xf>
    <xf numFmtId="0" fontId="34" fillId="0" borderId="0" xfId="5" applyNumberFormat="1" applyFont="1" applyFill="1" applyBorder="1" applyAlignment="1">
      <alignment horizontal="center" vertical="center"/>
    </xf>
    <xf numFmtId="0" fontId="21" fillId="4" borderId="12" xfId="5" applyFont="1" applyFill="1" applyBorder="1" applyAlignment="1">
      <alignment horizontal="left" vertical="center"/>
    </xf>
    <xf numFmtId="0" fontId="3" fillId="4" borderId="12" xfId="5" applyFont="1" applyFill="1" applyBorder="1" applyAlignment="1">
      <alignment horizontal="justify" vertical="center" wrapText="1"/>
    </xf>
    <xf numFmtId="0" fontId="3" fillId="4" borderId="12" xfId="5" applyFont="1" applyFill="1" applyBorder="1" applyAlignment="1">
      <alignment horizontal="center" vertical="center" wrapText="1"/>
    </xf>
    <xf numFmtId="4" fontId="3" fillId="4" borderId="12" xfId="5" applyNumberFormat="1" applyFont="1" applyFill="1" applyBorder="1" applyAlignment="1">
      <alignment horizontal="center" vertical="center" wrapText="1"/>
    </xf>
    <xf numFmtId="43" fontId="3" fillId="0" borderId="12" xfId="2" applyFont="1" applyBorder="1" applyAlignment="1">
      <alignment vertical="top" wrapText="1"/>
    </xf>
    <xf numFmtId="43" fontId="3" fillId="0" borderId="0" xfId="2" applyFont="1" applyBorder="1" applyAlignment="1">
      <alignment vertical="top" wrapText="1"/>
    </xf>
    <xf numFmtId="0" fontId="5" fillId="0" borderId="12" xfId="0" applyFont="1" applyBorder="1" applyAlignment="1">
      <alignment horizontal="center" wrapText="1"/>
    </xf>
    <xf numFmtId="43" fontId="5" fillId="0" borderId="12" xfId="2" applyFont="1" applyBorder="1" applyAlignment="1">
      <alignment vertical="top" wrapText="1"/>
    </xf>
    <xf numFmtId="0" fontId="2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27" fillId="0" borderId="33" xfId="0" applyFont="1" applyBorder="1"/>
    <xf numFmtId="0" fontId="0" fillId="0" borderId="33" xfId="0" applyBorder="1"/>
    <xf numFmtId="0" fontId="27" fillId="0" borderId="29" xfId="0" applyFont="1" applyBorder="1" applyAlignment="1">
      <alignment horizontal="center" wrapText="1"/>
    </xf>
    <xf numFmtId="165" fontId="3" fillId="0" borderId="12" xfId="0" applyNumberFormat="1" applyFont="1" applyBorder="1" applyAlignment="1">
      <alignment vertical="top" wrapText="1"/>
    </xf>
    <xf numFmtId="0" fontId="27" fillId="0" borderId="0" xfId="0" applyFont="1" applyBorder="1" applyAlignment="1">
      <alignment horizontal="center" wrapText="1"/>
    </xf>
    <xf numFmtId="43" fontId="17" fillId="0" borderId="31" xfId="2" applyFont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vertical="center" wrapText="1"/>
    </xf>
    <xf numFmtId="0" fontId="38" fillId="0" borderId="7" xfId="0" applyFont="1" applyFill="1" applyBorder="1" applyAlignment="1">
      <alignment horizontal="center" vertical="center" wrapText="1"/>
    </xf>
    <xf numFmtId="4" fontId="38" fillId="0" borderId="7" xfId="0" applyNumberFormat="1" applyFont="1" applyFill="1" applyBorder="1" applyAlignment="1">
      <alignment vertical="center" wrapText="1"/>
    </xf>
    <xf numFmtId="4" fontId="38" fillId="0" borderId="7" xfId="2" applyNumberFormat="1" applyFont="1" applyFill="1" applyBorder="1" applyAlignment="1">
      <alignment vertical="center" wrapText="1"/>
    </xf>
    <xf numFmtId="0" fontId="38" fillId="0" borderId="7" xfId="0" applyFont="1" applyFill="1" applyBorder="1" applyAlignment="1">
      <alignment vertical="center" wrapText="1"/>
    </xf>
    <xf numFmtId="4" fontId="38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9" fontId="23" fillId="4" borderId="29" xfId="0" applyNumberFormat="1" applyFont="1" applyFill="1" applyBorder="1" applyAlignment="1">
      <alignment horizontal="left" vertical="top"/>
    </xf>
    <xf numFmtId="0" fontId="23" fillId="4" borderId="0" xfId="0" applyFont="1" applyFill="1" applyAlignment="1">
      <alignment horizontal="left" vertical="top"/>
    </xf>
    <xf numFmtId="0" fontId="23" fillId="4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23" fillId="0" borderId="0" xfId="0" applyFont="1" applyFill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left" vertical="top"/>
    </xf>
    <xf numFmtId="49" fontId="23" fillId="0" borderId="29" xfId="0" applyNumberFormat="1" applyFont="1" applyFill="1" applyBorder="1" applyAlignment="1">
      <alignment horizontal="left" vertical="top"/>
    </xf>
    <xf numFmtId="0" fontId="23" fillId="0" borderId="12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39" fillId="0" borderId="0" xfId="0" applyFont="1" applyFill="1"/>
    <xf numFmtId="0" fontId="23" fillId="0" borderId="12" xfId="0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left" vertical="top"/>
    </xf>
    <xf numFmtId="0" fontId="23" fillId="0" borderId="12" xfId="3" applyFont="1" applyFill="1" applyBorder="1" applyAlignment="1">
      <alignment horizontal="left" vertical="top" wrapText="1"/>
    </xf>
    <xf numFmtId="4" fontId="23" fillId="0" borderId="12" xfId="3" applyNumberFormat="1" applyFont="1" applyFill="1" applyBorder="1" applyAlignment="1">
      <alignment horizontal="left" vertical="top" wrapText="1"/>
    </xf>
    <xf numFmtId="4" fontId="40" fillId="0" borderId="12" xfId="3" applyNumberFormat="1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/>
    </xf>
    <xf numFmtId="4" fontId="25" fillId="0" borderId="15" xfId="0" applyNumberFormat="1" applyFont="1" applyFill="1" applyBorder="1" applyAlignment="1">
      <alignment horizontal="left" vertical="top"/>
    </xf>
    <xf numFmtId="49" fontId="3" fillId="0" borderId="0" xfId="2" applyNumberFormat="1" applyFont="1" applyBorder="1" applyAlignment="1"/>
    <xf numFmtId="49" fontId="27" fillId="0" borderId="0" xfId="0" applyNumberFormat="1" applyFont="1" applyBorder="1" applyAlignment="1"/>
    <xf numFmtId="49" fontId="27" fillId="0" borderId="33" xfId="0" applyNumberFormat="1" applyFont="1" applyBorder="1"/>
    <xf numFmtId="165" fontId="3" fillId="0" borderId="12" xfId="0" applyNumberFormat="1" applyFont="1" applyBorder="1" applyAlignment="1">
      <alignment horizontal="center"/>
    </xf>
    <xf numFmtId="0" fontId="21" fillId="4" borderId="12" xfId="0" applyFont="1" applyFill="1" applyBorder="1" applyAlignment="1">
      <alignment horizontal="center" vertical="top"/>
    </xf>
    <xf numFmtId="164" fontId="41" fillId="4" borderId="12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/>
    <xf numFmtId="2" fontId="3" fillId="0" borderId="12" xfId="0" applyNumberFormat="1" applyFont="1" applyBorder="1"/>
    <xf numFmtId="49" fontId="23" fillId="4" borderId="29" xfId="0" applyNumberFormat="1" applyFont="1" applyFill="1" applyBorder="1" applyAlignment="1">
      <alignment horizontal="left" vertical="top"/>
    </xf>
    <xf numFmtId="0" fontId="23" fillId="4" borderId="0" xfId="0" applyFont="1" applyFill="1" applyAlignment="1">
      <alignment horizontal="left" vertical="top"/>
    </xf>
    <xf numFmtId="0" fontId="23" fillId="4" borderId="12" xfId="0" applyFont="1" applyFill="1" applyBorder="1" applyAlignment="1">
      <alignment horizontal="left" vertical="top" wrapText="1"/>
    </xf>
    <xf numFmtId="0" fontId="23" fillId="4" borderId="31" xfId="0" applyFont="1" applyFill="1" applyBorder="1" applyAlignment="1">
      <alignment horizontal="left" vertical="top"/>
    </xf>
    <xf numFmtId="0" fontId="23" fillId="4" borderId="31" xfId="0" applyFont="1" applyFill="1" applyBorder="1" applyAlignment="1">
      <alignment horizontal="left" vertical="top" wrapText="1"/>
    </xf>
    <xf numFmtId="0" fontId="17" fillId="4" borderId="12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/>
    </xf>
    <xf numFmtId="4" fontId="23" fillId="4" borderId="31" xfId="0" applyNumberFormat="1" applyFont="1" applyFill="1" applyBorder="1" applyAlignment="1">
      <alignment horizontal="center" vertical="center"/>
    </xf>
    <xf numFmtId="4" fontId="40" fillId="4" borderId="12" xfId="0" applyNumberFormat="1" applyFont="1" applyFill="1" applyBorder="1" applyAlignment="1">
      <alignment horizontal="center" vertical="center"/>
    </xf>
    <xf numFmtId="4" fontId="42" fillId="4" borderId="0" xfId="0" applyNumberFormat="1" applyFont="1" applyFill="1" applyBorder="1" applyAlignment="1">
      <alignment horizontal="center" vertical="center"/>
    </xf>
    <xf numFmtId="4" fontId="42" fillId="4" borderId="12" xfId="0" applyNumberFormat="1" applyFont="1" applyFill="1" applyBorder="1" applyAlignment="1">
      <alignment horizontal="center" vertical="center"/>
    </xf>
    <xf numFmtId="4" fontId="23" fillId="4" borderId="0" xfId="0" applyNumberFormat="1" applyFont="1" applyFill="1" applyBorder="1" applyAlignment="1">
      <alignment horizontal="left" vertical="center"/>
    </xf>
    <xf numFmtId="0" fontId="25" fillId="4" borderId="31" xfId="0" applyFont="1" applyFill="1" applyBorder="1" applyAlignment="1">
      <alignment horizontal="left" vertical="top"/>
    </xf>
    <xf numFmtId="165" fontId="25" fillId="4" borderId="12" xfId="6" applyFont="1" applyFill="1" applyBorder="1" applyAlignment="1">
      <alignment horizontal="left" vertical="top"/>
    </xf>
    <xf numFmtId="165" fontId="25" fillId="4" borderId="0" xfId="6" applyFont="1" applyFill="1" applyBorder="1" applyAlignment="1">
      <alignment horizontal="left" vertical="top"/>
    </xf>
    <xf numFmtId="0" fontId="26" fillId="4" borderId="0" xfId="0" applyFont="1" applyFill="1" applyAlignment="1">
      <alignment horizontal="center" vertical="center"/>
    </xf>
    <xf numFmtId="0" fontId="39" fillId="4" borderId="0" xfId="0" applyFont="1" applyFill="1"/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wrapText="1"/>
    </xf>
    <xf numFmtId="0" fontId="21" fillId="4" borderId="0" xfId="5" applyFont="1" applyFill="1" applyAlignment="1">
      <alignment vertical="center"/>
    </xf>
    <xf numFmtId="0" fontId="32" fillId="4" borderId="12" xfId="4" applyFont="1" applyFill="1" applyBorder="1" applyAlignment="1"/>
    <xf numFmtId="2" fontId="35" fillId="4" borderId="12" xfId="5" applyNumberFormat="1" applyFont="1" applyFill="1" applyBorder="1" applyAlignment="1">
      <alignment horizontal="center"/>
    </xf>
    <xf numFmtId="0" fontId="35" fillId="4" borderId="0" xfId="5" applyFont="1" applyFill="1"/>
    <xf numFmtId="0" fontId="30" fillId="4" borderId="0" xfId="4" applyFont="1" applyFill="1" applyBorder="1" applyAlignment="1">
      <alignment horizontal="center" vertical="center"/>
    </xf>
    <xf numFmtId="0" fontId="30" fillId="4" borderId="12" xfId="4" applyFont="1" applyFill="1" applyBorder="1" applyAlignment="1">
      <alignment horizontal="center" vertical="center"/>
    </xf>
    <xf numFmtId="4" fontId="30" fillId="4" borderId="12" xfId="4" applyNumberFormat="1" applyFont="1" applyFill="1" applyBorder="1" applyAlignment="1">
      <alignment horizontal="center" vertical="center"/>
    </xf>
    <xf numFmtId="0" fontId="30" fillId="4" borderId="15" xfId="4" applyFont="1" applyFill="1" applyBorder="1" applyAlignment="1">
      <alignment vertical="center"/>
    </xf>
    <xf numFmtId="0" fontId="30" fillId="4" borderId="15" xfId="4" applyNumberFormat="1" applyFont="1" applyFill="1" applyBorder="1" applyAlignment="1">
      <alignment horizontal="center" vertical="center"/>
    </xf>
    <xf numFmtId="2" fontId="21" fillId="4" borderId="15" xfId="5" applyNumberFormat="1" applyFont="1" applyFill="1" applyBorder="1" applyAlignment="1">
      <alignment horizontal="center" vertical="center"/>
    </xf>
    <xf numFmtId="0" fontId="32" fillId="4" borderId="15" xfId="4" applyFont="1" applyFill="1" applyBorder="1" applyAlignment="1">
      <alignment horizontal="center" vertical="center"/>
    </xf>
    <xf numFmtId="0" fontId="32" fillId="4" borderId="15" xfId="4" applyNumberFormat="1" applyFont="1" applyFill="1" applyBorder="1" applyAlignment="1">
      <alignment horizontal="center" vertical="center"/>
    </xf>
    <xf numFmtId="2" fontId="32" fillId="4" borderId="15" xfId="4" applyNumberFormat="1" applyFont="1" applyFill="1" applyBorder="1" applyAlignment="1">
      <alignment horizontal="center" vertical="center"/>
    </xf>
    <xf numFmtId="4" fontId="34" fillId="2" borderId="12" xfId="5" applyNumberFormat="1" applyFont="1" applyFill="1" applyBorder="1" applyAlignment="1">
      <alignment horizontal="center"/>
    </xf>
    <xf numFmtId="0" fontId="34" fillId="4" borderId="0" xfId="5" applyFont="1" applyFill="1"/>
    <xf numFmtId="0" fontId="34" fillId="4" borderId="47" xfId="4" applyFont="1" applyFill="1" applyBorder="1"/>
    <xf numFmtId="0" fontId="34" fillId="4" borderId="47" xfId="4" applyFont="1" applyFill="1" applyBorder="1" applyAlignment="1">
      <alignment horizontal="center"/>
    </xf>
    <xf numFmtId="4" fontId="34" fillId="4" borderId="48" xfId="4" applyNumberFormat="1" applyFont="1" applyFill="1" applyBorder="1" applyAlignment="1">
      <alignment horizontal="center"/>
    </xf>
    <xf numFmtId="0" fontId="34" fillId="4" borderId="33" xfId="5" applyFont="1" applyFill="1" applyBorder="1" applyAlignment="1">
      <alignment horizontal="center"/>
    </xf>
    <xf numFmtId="0" fontId="34" fillId="4" borderId="34" xfId="5" applyNumberFormat="1" applyFont="1" applyFill="1" applyBorder="1" applyAlignment="1">
      <alignment horizontal="center"/>
    </xf>
    <xf numFmtId="2" fontId="34" fillId="4" borderId="12" xfId="5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0" xfId="0" applyFont="1"/>
    <xf numFmtId="0" fontId="0" fillId="0" borderId="29" xfId="0" applyFont="1" applyBorder="1"/>
    <xf numFmtId="0" fontId="5" fillId="4" borderId="3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4" fontId="5" fillId="4" borderId="7" xfId="2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0" fillId="4" borderId="0" xfId="0" applyFill="1"/>
    <xf numFmtId="0" fontId="1" fillId="0" borderId="0" xfId="0" applyFont="1" applyBorder="1" applyAlignment="1"/>
    <xf numFmtId="0" fontId="3" fillId="0" borderId="34" xfId="0" applyFont="1" applyBorder="1" applyAlignment="1">
      <alignment vertical="top" wrapText="1"/>
    </xf>
    <xf numFmtId="0" fontId="43" fillId="0" borderId="30" xfId="0" applyNumberFormat="1" applyFont="1" applyFill="1" applyBorder="1" applyAlignment="1">
      <alignment vertical="center" wrapText="1"/>
    </xf>
    <xf numFmtId="0" fontId="43" fillId="0" borderId="0" xfId="0" applyNumberFormat="1" applyFont="1" applyFill="1" applyBorder="1" applyAlignment="1">
      <alignment vertical="center" wrapText="1"/>
    </xf>
    <xf numFmtId="0" fontId="43" fillId="0" borderId="29" xfId="0" applyNumberFormat="1" applyFont="1" applyFill="1" applyBorder="1" applyAlignment="1">
      <alignment vertical="center" wrapText="1"/>
    </xf>
    <xf numFmtId="165" fontId="3" fillId="0" borderId="12" xfId="0" applyNumberFormat="1" applyFont="1" applyBorder="1" applyAlignment="1">
      <alignment horizontal="center" vertical="center"/>
    </xf>
    <xf numFmtId="0" fontId="21" fillId="4" borderId="34" xfId="0" applyFont="1" applyFill="1" applyBorder="1" applyAlignment="1"/>
    <xf numFmtId="0" fontId="21" fillId="4" borderId="12" xfId="0" applyFont="1" applyFill="1" applyBorder="1" applyAlignment="1">
      <alignment horizontal="center" vertical="center"/>
    </xf>
    <xf numFmtId="164" fontId="35" fillId="4" borderId="12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3" fillId="0" borderId="0" xfId="0" applyFont="1" applyFill="1"/>
    <xf numFmtId="49" fontId="27" fillId="0" borderId="29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14" fontId="9" fillId="0" borderId="12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left" wrapText="1"/>
    </xf>
    <xf numFmtId="0" fontId="6" fillId="0" borderId="29" xfId="0" applyFont="1" applyBorder="1" applyAlignment="1">
      <alignment horizontal="right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3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" fontId="17" fillId="0" borderId="2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0" xfId="2" applyNumberFormat="1" applyFont="1" applyBorder="1" applyAlignment="1">
      <alignment horizontal="center"/>
    </xf>
    <xf numFmtId="0" fontId="15" fillId="0" borderId="32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0" borderId="46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45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1" fillId="4" borderId="31" xfId="0" applyFont="1" applyFill="1" applyBorder="1" applyAlignment="1">
      <alignment horizontal="center"/>
    </xf>
    <xf numFmtId="0" fontId="21" fillId="4" borderId="33" xfId="0" applyFont="1" applyFill="1" applyBorder="1" applyAlignment="1">
      <alignment horizontal="center"/>
    </xf>
    <xf numFmtId="0" fontId="21" fillId="4" borderId="34" xfId="0" applyFont="1" applyFill="1" applyBorder="1" applyAlignment="1">
      <alignment horizontal="center"/>
    </xf>
    <xf numFmtId="0" fontId="26" fillId="4" borderId="31" xfId="0" applyFont="1" applyFill="1" applyBorder="1" applyAlignment="1">
      <alignment horizontal="center"/>
    </xf>
    <xf numFmtId="0" fontId="26" fillId="4" borderId="33" xfId="0" applyFont="1" applyFill="1" applyBorder="1" applyAlignment="1">
      <alignment horizontal="center"/>
    </xf>
    <xf numFmtId="0" fontId="26" fillId="4" borderId="34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49" fontId="23" fillId="0" borderId="29" xfId="0" applyNumberFormat="1" applyFont="1" applyFill="1" applyBorder="1" applyAlignment="1">
      <alignment horizontal="center" vertical="top"/>
    </xf>
    <xf numFmtId="0" fontId="3" fillId="0" borderId="31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21" fillId="4" borderId="31" xfId="0" applyFont="1" applyFill="1" applyBorder="1" applyAlignment="1">
      <alignment horizontal="left"/>
    </xf>
    <xf numFmtId="0" fontId="21" fillId="4" borderId="33" xfId="0" applyFont="1" applyFill="1" applyBorder="1" applyAlignment="1">
      <alignment horizontal="left"/>
    </xf>
    <xf numFmtId="49" fontId="27" fillId="0" borderId="29" xfId="0" applyNumberFormat="1" applyFont="1" applyBorder="1" applyAlignment="1">
      <alignment horizontal="left"/>
    </xf>
    <xf numFmtId="0" fontId="27" fillId="0" borderId="33" xfId="0" applyFont="1" applyBorder="1" applyAlignment="1">
      <alignment horizontal="left" wrapText="1"/>
    </xf>
    <xf numFmtId="0" fontId="3" fillId="0" borderId="31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27" fillId="0" borderId="33" xfId="0" applyFont="1" applyBorder="1" applyAlignment="1">
      <alignment horizontal="center" wrapText="1"/>
    </xf>
    <xf numFmtId="0" fontId="2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31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1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27" fillId="0" borderId="29" xfId="0" applyFont="1" applyBorder="1" applyAlignment="1">
      <alignment horizontal="center"/>
    </xf>
    <xf numFmtId="49" fontId="27" fillId="0" borderId="29" xfId="0" applyNumberFormat="1" applyFont="1" applyBorder="1" applyAlignment="1">
      <alignment horizontal="center"/>
    </xf>
    <xf numFmtId="0" fontId="0" fillId="0" borderId="34" xfId="0" applyBorder="1"/>
    <xf numFmtId="0" fontId="1" fillId="0" borderId="12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49" fontId="0" fillId="0" borderId="29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49" fontId="27" fillId="0" borderId="29" xfId="0" applyNumberFormat="1" applyFont="1" applyBorder="1" applyAlignment="1">
      <alignment horizontal="left" wrapText="1"/>
    </xf>
    <xf numFmtId="49" fontId="27" fillId="0" borderId="33" xfId="0" applyNumberFormat="1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27" fillId="0" borderId="29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justify" vertical="top" wrapText="1"/>
    </xf>
    <xf numFmtId="49" fontId="3" fillId="0" borderId="33" xfId="0" applyNumberFormat="1" applyFont="1" applyBorder="1" applyAlignment="1">
      <alignment horizontal="justify" wrapText="1"/>
    </xf>
    <xf numFmtId="49" fontId="27" fillId="0" borderId="3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/>
    </xf>
    <xf numFmtId="0" fontId="24" fillId="4" borderId="0" xfId="0" applyFont="1" applyFill="1" applyAlignment="1">
      <alignment horizontal="left" vertical="top"/>
    </xf>
    <xf numFmtId="49" fontId="23" fillId="4" borderId="29" xfId="0" applyNumberFormat="1" applyFont="1" applyFill="1" applyBorder="1" applyAlignment="1">
      <alignment horizontal="left" vertical="top"/>
    </xf>
    <xf numFmtId="49" fontId="23" fillId="4" borderId="33" xfId="0" applyNumberFormat="1" applyFont="1" applyFill="1" applyBorder="1" applyAlignment="1">
      <alignment horizontal="left" vertical="top"/>
    </xf>
    <xf numFmtId="0" fontId="23" fillId="4" borderId="0" xfId="0" applyFont="1" applyFill="1" applyAlignment="1">
      <alignment horizontal="left" vertical="top"/>
    </xf>
    <xf numFmtId="0" fontId="23" fillId="4" borderId="12" xfId="0" applyFont="1" applyFill="1" applyBorder="1" applyAlignment="1">
      <alignment horizontal="left" vertical="top" wrapText="1"/>
    </xf>
    <xf numFmtId="0" fontId="23" fillId="4" borderId="31" xfId="0" applyFont="1" applyFill="1" applyBorder="1" applyAlignment="1">
      <alignment horizontal="left" vertical="top"/>
    </xf>
    <xf numFmtId="0" fontId="23" fillId="4" borderId="33" xfId="0" applyFont="1" applyFill="1" applyBorder="1" applyAlignment="1">
      <alignment horizontal="left" vertical="top"/>
    </xf>
    <xf numFmtId="0" fontId="23" fillId="4" borderId="34" xfId="0" applyFont="1" applyFill="1" applyBorder="1" applyAlignment="1">
      <alignment horizontal="left" vertical="top"/>
    </xf>
    <xf numFmtId="0" fontId="30" fillId="4" borderId="29" xfId="4" applyFont="1" applyFill="1" applyBorder="1" applyAlignment="1">
      <alignment horizontal="center"/>
    </xf>
    <xf numFmtId="0" fontId="30" fillId="4" borderId="38" xfId="4" applyFont="1" applyFill="1" applyBorder="1" applyAlignment="1">
      <alignment horizontal="center"/>
    </xf>
    <xf numFmtId="0" fontId="31" fillId="4" borderId="31" xfId="4" applyFont="1" applyFill="1" applyBorder="1" applyAlignment="1">
      <alignment horizontal="center" vertical="center"/>
    </xf>
    <xf numFmtId="0" fontId="31" fillId="4" borderId="33" xfId="4" applyFont="1" applyFill="1" applyBorder="1" applyAlignment="1">
      <alignment horizontal="center" vertical="center"/>
    </xf>
    <xf numFmtId="0" fontId="31" fillId="4" borderId="30" xfId="4" applyFont="1" applyFill="1" applyBorder="1" applyAlignment="1">
      <alignment horizontal="center" vertical="center"/>
    </xf>
    <xf numFmtId="0" fontId="31" fillId="4" borderId="25" xfId="4" applyFont="1" applyFill="1" applyBorder="1" applyAlignment="1">
      <alignment horizontal="center" vertical="center"/>
    </xf>
    <xf numFmtId="0" fontId="30" fillId="4" borderId="12" xfId="4" applyFont="1" applyFill="1" applyBorder="1" applyAlignment="1">
      <alignment horizontal="center"/>
    </xf>
    <xf numFmtId="49" fontId="31" fillId="4" borderId="12" xfId="4" applyNumberFormat="1" applyFont="1" applyFill="1" applyBorder="1" applyAlignment="1">
      <alignment horizontal="center" vertical="center"/>
    </xf>
    <xf numFmtId="49" fontId="31" fillId="4" borderId="14" xfId="4" applyNumberFormat="1" applyFont="1" applyFill="1" applyBorder="1" applyAlignment="1">
      <alignment horizontal="center" vertical="center"/>
    </xf>
    <xf numFmtId="0" fontId="33" fillId="4" borderId="0" xfId="5" applyFont="1" applyFill="1" applyBorder="1" applyAlignment="1">
      <alignment horizontal="center"/>
    </xf>
    <xf numFmtId="49" fontId="31" fillId="4" borderId="31" xfId="4" applyNumberFormat="1" applyFont="1" applyFill="1" applyBorder="1" applyAlignment="1">
      <alignment horizontal="center" vertical="center"/>
    </xf>
    <xf numFmtId="49" fontId="31" fillId="4" borderId="33" xfId="4" applyNumberFormat="1" applyFont="1" applyFill="1" applyBorder="1" applyAlignment="1">
      <alignment horizontal="center" vertical="center"/>
    </xf>
    <xf numFmtId="49" fontId="31" fillId="4" borderId="34" xfId="4" applyNumberFormat="1" applyFont="1" applyFill="1" applyBorder="1" applyAlignment="1">
      <alignment horizontal="center" vertical="center"/>
    </xf>
    <xf numFmtId="0" fontId="31" fillId="4" borderId="12" xfId="4" applyFont="1" applyFill="1" applyBorder="1" applyAlignment="1">
      <alignment horizontal="center" vertical="center"/>
    </xf>
    <xf numFmtId="0" fontId="31" fillId="4" borderId="14" xfId="4" applyFont="1" applyFill="1" applyBorder="1" applyAlignment="1">
      <alignment horizontal="center" vertical="center"/>
    </xf>
    <xf numFmtId="0" fontId="31" fillId="4" borderId="34" xfId="4" applyFont="1" applyFill="1" applyBorder="1" applyAlignment="1">
      <alignment horizontal="center" vertical="center"/>
    </xf>
    <xf numFmtId="0" fontId="31" fillId="4" borderId="0" xfId="4" applyFont="1" applyFill="1" applyBorder="1" applyAlignment="1">
      <alignment horizontal="center" vertical="center"/>
    </xf>
    <xf numFmtId="0" fontId="34" fillId="4" borderId="31" xfId="4" applyFont="1" applyFill="1" applyBorder="1" applyAlignment="1">
      <alignment horizontal="right"/>
    </xf>
    <xf numFmtId="0" fontId="34" fillId="4" borderId="33" xfId="4" applyFont="1" applyFill="1" applyBorder="1" applyAlignment="1">
      <alignment horizontal="right"/>
    </xf>
    <xf numFmtId="0" fontId="34" fillId="4" borderId="34" xfId="4" applyFont="1" applyFill="1" applyBorder="1" applyAlignment="1">
      <alignment horizontal="right"/>
    </xf>
    <xf numFmtId="0" fontId="32" fillId="4" borderId="29" xfId="4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2" fontId="34" fillId="4" borderId="0" xfId="5" applyNumberFormat="1" applyFont="1" applyFill="1" applyBorder="1" applyAlignment="1">
      <alignment horizontal="center" vertical="center"/>
    </xf>
    <xf numFmtId="0" fontId="35" fillId="4" borderId="0" xfId="5" applyFont="1" applyFill="1" applyBorder="1" applyAlignment="1">
      <alignment horizontal="center" vertical="center"/>
    </xf>
    <xf numFmtId="0" fontId="31" fillId="4" borderId="31" xfId="5" applyFont="1" applyFill="1" applyBorder="1" applyAlignment="1">
      <alignment horizontal="center" vertical="center"/>
    </xf>
    <xf numFmtId="0" fontId="31" fillId="4" borderId="33" xfId="5" applyFont="1" applyFill="1" applyBorder="1" applyAlignment="1">
      <alignment horizontal="center" vertical="center"/>
    </xf>
    <xf numFmtId="0" fontId="31" fillId="4" borderId="30" xfId="5" applyFont="1" applyFill="1" applyBorder="1" applyAlignment="1">
      <alignment horizontal="center" vertical="center"/>
    </xf>
    <xf numFmtId="0" fontId="31" fillId="4" borderId="25" xfId="5" applyFont="1" applyFill="1" applyBorder="1" applyAlignment="1">
      <alignment horizontal="center" vertical="center"/>
    </xf>
    <xf numFmtId="0" fontId="31" fillId="4" borderId="39" xfId="5" applyFont="1" applyFill="1" applyBorder="1" applyAlignment="1">
      <alignment horizontal="center" vertical="center"/>
    </xf>
    <xf numFmtId="2" fontId="34" fillId="4" borderId="0" xfId="5" applyNumberFormat="1" applyFont="1" applyFill="1" applyBorder="1" applyAlignment="1">
      <alignment horizontal="center"/>
    </xf>
    <xf numFmtId="0" fontId="32" fillId="4" borderId="38" xfId="4" applyFont="1" applyFill="1" applyBorder="1" applyAlignment="1">
      <alignment horizontal="center" vertical="center" wrapText="1"/>
    </xf>
    <xf numFmtId="0" fontId="31" fillId="4" borderId="0" xfId="5" applyFont="1" applyFill="1" applyBorder="1" applyAlignment="1">
      <alignment horizontal="center" vertical="center"/>
    </xf>
    <xf numFmtId="0" fontId="32" fillId="4" borderId="30" xfId="4" applyFont="1" applyFill="1" applyBorder="1" applyAlignment="1">
      <alignment horizontal="center" vertical="center" wrapText="1"/>
    </xf>
    <xf numFmtId="0" fontId="35" fillId="4" borderId="31" xfId="5" applyFont="1" applyFill="1" applyBorder="1" applyAlignment="1">
      <alignment horizontal="center" vertical="center" wrapText="1"/>
    </xf>
    <xf numFmtId="0" fontId="35" fillId="4" borderId="33" xfId="5" applyFont="1" applyFill="1" applyBorder="1" applyAlignment="1">
      <alignment horizontal="center" vertical="center" wrapText="1"/>
    </xf>
    <xf numFmtId="0" fontId="35" fillId="4" borderId="0" xfId="5" applyFont="1" applyFill="1" applyBorder="1" applyAlignment="1">
      <alignment horizontal="center" vertical="center" wrapText="1"/>
    </xf>
    <xf numFmtId="0" fontId="35" fillId="4" borderId="37" xfId="5" applyFont="1" applyFill="1" applyBorder="1" applyAlignment="1">
      <alignment horizontal="center" vertical="center" wrapText="1"/>
    </xf>
    <xf numFmtId="4" fontId="34" fillId="2" borderId="12" xfId="5" applyNumberFormat="1" applyFont="1" applyFill="1" applyBorder="1" applyAlignment="1">
      <alignment horizontal="center" vertical="center"/>
    </xf>
    <xf numFmtId="2" fontId="34" fillId="0" borderId="0" xfId="5" applyNumberFormat="1" applyFont="1" applyFill="1" applyBorder="1" applyAlignment="1">
      <alignment horizontal="center" vertical="center" wrapText="1"/>
    </xf>
    <xf numFmtId="0" fontId="35" fillId="0" borderId="31" xfId="5" applyFont="1" applyFill="1" applyBorder="1" applyAlignment="1">
      <alignment horizontal="center" vertical="center" wrapText="1"/>
    </xf>
    <xf numFmtId="0" fontId="35" fillId="0" borderId="33" xfId="5" applyFont="1" applyFill="1" applyBorder="1" applyAlignment="1">
      <alignment horizontal="center" vertical="center" wrapText="1"/>
    </xf>
    <xf numFmtId="0" fontId="35" fillId="0" borderId="0" xfId="5" applyFont="1" applyFill="1" applyBorder="1" applyAlignment="1">
      <alignment horizontal="center" vertical="center" wrapText="1"/>
    </xf>
    <xf numFmtId="0" fontId="32" fillId="4" borderId="12" xfId="4" applyFont="1" applyFill="1" applyBorder="1" applyAlignment="1">
      <alignment horizontal="center" vertical="center" wrapText="1"/>
    </xf>
    <xf numFmtId="0" fontId="31" fillId="4" borderId="12" xfId="4" applyFont="1" applyFill="1" applyBorder="1" applyAlignment="1">
      <alignment horizontal="center" vertical="center" wrapText="1"/>
    </xf>
    <xf numFmtId="0" fontId="31" fillId="4" borderId="14" xfId="4" applyFont="1" applyFill="1" applyBorder="1" applyAlignment="1">
      <alignment horizontal="center" vertical="center" wrapText="1"/>
    </xf>
    <xf numFmtId="0" fontId="33" fillId="4" borderId="0" xfId="5" applyFont="1" applyFill="1" applyBorder="1" applyAlignment="1">
      <alignment horizontal="center" vertical="center" wrapText="1"/>
    </xf>
    <xf numFmtId="0" fontId="35" fillId="6" borderId="31" xfId="5" applyFont="1" applyFill="1" applyBorder="1" applyAlignment="1">
      <alignment horizontal="center" vertical="center" wrapText="1"/>
    </xf>
    <xf numFmtId="0" fontId="35" fillId="6" borderId="33" xfId="5" applyFont="1" applyFill="1" applyBorder="1" applyAlignment="1">
      <alignment horizontal="center" vertical="center" wrapText="1"/>
    </xf>
    <xf numFmtId="0" fontId="35" fillId="6" borderId="0" xfId="5" applyFont="1" applyFill="1" applyBorder="1" applyAlignment="1">
      <alignment horizontal="center" vertical="center" wrapText="1"/>
    </xf>
    <xf numFmtId="0" fontId="35" fillId="6" borderId="37" xfId="5" applyFont="1" applyFill="1" applyBorder="1" applyAlignment="1">
      <alignment horizontal="center" vertical="center" wrapText="1"/>
    </xf>
    <xf numFmtId="0" fontId="34" fillId="0" borderId="31" xfId="5" applyFont="1" applyFill="1" applyBorder="1" applyAlignment="1">
      <alignment horizontal="right" vertical="center" wrapText="1"/>
    </xf>
    <xf numFmtId="0" fontId="34" fillId="0" borderId="33" xfId="5" applyFont="1" applyFill="1" applyBorder="1" applyAlignment="1">
      <alignment horizontal="right" vertical="center" wrapText="1"/>
    </xf>
    <xf numFmtId="0" fontId="34" fillId="0" borderId="34" xfId="5" applyFont="1" applyFill="1" applyBorder="1" applyAlignment="1">
      <alignment horizontal="right" vertical="center" wrapText="1"/>
    </xf>
    <xf numFmtId="49" fontId="27" fillId="0" borderId="33" xfId="0" applyNumberFormat="1" applyFont="1" applyBorder="1" applyAlignment="1">
      <alignment horizontal="center" wrapText="1"/>
    </xf>
    <xf numFmtId="0" fontId="23" fillId="0" borderId="31" xfId="0" applyFont="1" applyFill="1" applyBorder="1" applyAlignment="1">
      <alignment horizontal="center" vertical="top" wrapText="1"/>
    </xf>
    <xf numFmtId="0" fontId="23" fillId="0" borderId="33" xfId="0" applyFont="1" applyFill="1" applyBorder="1" applyAlignment="1">
      <alignment horizontal="center" vertical="top" wrapText="1"/>
    </xf>
    <xf numFmtId="0" fontId="23" fillId="0" borderId="34" xfId="0" applyFont="1" applyFill="1" applyBorder="1" applyAlignment="1">
      <alignment horizontal="center" vertical="top" wrapText="1"/>
    </xf>
    <xf numFmtId="0" fontId="23" fillId="4" borderId="31" xfId="0" applyFont="1" applyFill="1" applyBorder="1" applyAlignment="1">
      <alignment vertical="top" wrapText="1"/>
    </xf>
    <xf numFmtId="0" fontId="23" fillId="4" borderId="33" xfId="0" applyFont="1" applyFill="1" applyBorder="1" applyAlignment="1">
      <alignment vertical="top" wrapText="1"/>
    </xf>
    <xf numFmtId="0" fontId="23" fillId="4" borderId="34" xfId="0" applyFont="1" applyFill="1" applyBorder="1" applyAlignment="1">
      <alignment vertical="top" wrapText="1"/>
    </xf>
    <xf numFmtId="0" fontId="24" fillId="0" borderId="0" xfId="0" applyFont="1" applyFill="1" applyAlignment="1">
      <alignment horizontal="center" vertical="top" wrapText="1"/>
    </xf>
    <xf numFmtId="49" fontId="23" fillId="0" borderId="29" xfId="0" applyNumberFormat="1" applyFont="1" applyFill="1" applyBorder="1" applyAlignment="1">
      <alignment horizontal="left" vertical="top"/>
    </xf>
    <xf numFmtId="49" fontId="23" fillId="0" borderId="33" xfId="0" applyNumberFormat="1" applyFont="1" applyFill="1" applyBorder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0" fontId="23" fillId="0" borderId="12" xfId="0" applyFont="1" applyFill="1" applyBorder="1" applyAlignment="1">
      <alignment horizontal="left" vertical="top" wrapText="1"/>
    </xf>
    <xf numFmtId="0" fontId="23" fillId="4" borderId="31" xfId="0" applyFont="1" applyFill="1" applyBorder="1" applyAlignment="1">
      <alignment horizontal="left" vertical="top" wrapText="1"/>
    </xf>
    <xf numFmtId="0" fontId="23" fillId="4" borderId="33" xfId="0" applyFont="1" applyFill="1" applyBorder="1" applyAlignment="1">
      <alignment horizontal="left" vertical="top" wrapText="1"/>
    </xf>
    <xf numFmtId="0" fontId="23" fillId="4" borderId="34" xfId="0" applyFont="1" applyFill="1" applyBorder="1" applyAlignment="1">
      <alignment horizontal="left" vertical="top" wrapText="1"/>
    </xf>
    <xf numFmtId="0" fontId="23" fillId="4" borderId="31" xfId="0" applyFont="1" applyFill="1" applyBorder="1" applyAlignment="1">
      <alignment horizontal="center" vertical="top" wrapText="1"/>
    </xf>
    <xf numFmtId="0" fontId="23" fillId="4" borderId="33" xfId="0" applyFont="1" applyFill="1" applyBorder="1" applyAlignment="1">
      <alignment horizontal="center" vertical="top" wrapText="1"/>
    </xf>
    <xf numFmtId="0" fontId="23" fillId="4" borderId="34" xfId="0" applyFont="1" applyFill="1" applyBorder="1" applyAlignment="1">
      <alignment horizontal="center" vertical="top" wrapText="1"/>
    </xf>
    <xf numFmtId="0" fontId="23" fillId="4" borderId="14" xfId="0" applyFont="1" applyFill="1" applyBorder="1" applyAlignment="1">
      <alignment horizontal="center" vertical="top"/>
    </xf>
    <xf numFmtId="0" fontId="23" fillId="4" borderId="15" xfId="0" applyFont="1" applyFill="1" applyBorder="1" applyAlignment="1">
      <alignment horizontal="center" vertical="top"/>
    </xf>
    <xf numFmtId="0" fontId="23" fillId="4" borderId="32" xfId="0" applyFont="1" applyFill="1" applyBorder="1" applyAlignment="1">
      <alignment horizontal="center" vertical="top" wrapText="1"/>
    </xf>
    <xf numFmtId="0" fontId="23" fillId="4" borderId="30" xfId="0" applyFont="1" applyFill="1" applyBorder="1" applyAlignment="1">
      <alignment horizontal="center" vertical="top" wrapText="1"/>
    </xf>
    <xf numFmtId="0" fontId="23" fillId="4" borderId="25" xfId="0" applyFont="1" applyFill="1" applyBorder="1" applyAlignment="1">
      <alignment horizontal="center" vertical="top" wrapText="1"/>
    </xf>
    <xf numFmtId="0" fontId="23" fillId="4" borderId="45" xfId="0" applyFont="1" applyFill="1" applyBorder="1" applyAlignment="1">
      <alignment horizontal="center" vertical="top" wrapText="1"/>
    </xf>
    <xf numFmtId="0" fontId="23" fillId="4" borderId="29" xfId="0" applyFont="1" applyFill="1" applyBorder="1" applyAlignment="1">
      <alignment horizontal="center" vertical="top" wrapText="1"/>
    </xf>
    <xf numFmtId="0" fontId="23" fillId="4" borderId="38" xfId="0" applyFont="1" applyFill="1" applyBorder="1" applyAlignment="1">
      <alignment horizontal="center" vertical="top" wrapText="1"/>
    </xf>
    <xf numFmtId="43" fontId="25" fillId="4" borderId="32" xfId="2" applyFont="1" applyFill="1" applyBorder="1" applyAlignment="1">
      <alignment horizontal="center" vertical="top"/>
    </xf>
    <xf numFmtId="43" fontId="25" fillId="4" borderId="30" xfId="2" applyFont="1" applyFill="1" applyBorder="1" applyAlignment="1">
      <alignment horizontal="center" vertical="top"/>
    </xf>
    <xf numFmtId="43" fontId="25" fillId="4" borderId="25" xfId="2" applyFont="1" applyFill="1" applyBorder="1" applyAlignment="1">
      <alignment horizontal="center" vertical="top"/>
    </xf>
    <xf numFmtId="43" fontId="25" fillId="4" borderId="45" xfId="2" applyFont="1" applyFill="1" applyBorder="1" applyAlignment="1">
      <alignment horizontal="center" vertical="top"/>
    </xf>
    <xf numFmtId="43" fontId="25" fillId="4" borderId="29" xfId="2" applyFont="1" applyFill="1" applyBorder="1" applyAlignment="1">
      <alignment horizontal="center" vertical="top"/>
    </xf>
    <xf numFmtId="43" fontId="25" fillId="4" borderId="38" xfId="2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31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4" fontId="23" fillId="4" borderId="0" xfId="0" applyNumberFormat="1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left" vertical="center" wrapText="1"/>
    </xf>
    <xf numFmtId="0" fontId="17" fillId="4" borderId="33" xfId="0" applyFont="1" applyFill="1" applyBorder="1" applyAlignment="1">
      <alignment horizontal="left" vertical="center" wrapText="1"/>
    </xf>
    <xf numFmtId="0" fontId="17" fillId="4" borderId="34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43" fontId="0" fillId="0" borderId="31" xfId="2" applyFont="1" applyBorder="1" applyAlignment="1">
      <alignment horizontal="center"/>
    </xf>
    <xf numFmtId="43" fontId="0" fillId="0" borderId="34" xfId="2" applyFont="1" applyBorder="1" applyAlignment="1">
      <alignment horizontal="center"/>
    </xf>
    <xf numFmtId="0" fontId="5" fillId="0" borderId="31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11">
    <cellStyle name="Excel Built-in Normal" xfId="4"/>
    <cellStyle name="Гиперссылка" xfId="1" builtinId="8"/>
    <cellStyle name="Обычный" xfId="0" builtinId="0"/>
    <cellStyle name="Обычный 10" xfId="7"/>
    <cellStyle name="Обычный 15" xfId="8"/>
    <cellStyle name="Обычный 2" xfId="3"/>
    <cellStyle name="Обычный 2 2 2" xfId="5"/>
    <cellStyle name="Обычный 2 3" xfId="9"/>
    <cellStyle name="Финансовый" xfId="2" builtinId="3"/>
    <cellStyle name="Финансовый 2" xfId="6"/>
    <cellStyle name="Финансовый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E5C71C0157D592B2878A7A4A35A7A021DC3E1A143A4BFF04146F8E1BDC0012A92A17978D91B21DFD6D7B12DF14a9R8C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E5C71C0157D592B2878A7A4A35A7A021DC3F1E133C40FF04146F8E1BDC0012A93817CF8392B305F73834548A1893C9F128D121B884DCaARAC" TargetMode="External"/><Relationship Id="rId1" Type="http://schemas.openxmlformats.org/officeDocument/2006/relationships/hyperlink" Target="consultantplus://offline/ref=E5C71C0157D592B2878A7A4A35A7A021DC3E1A143A4BFF04146F8E1BDC0012A92A17978D91B21DFD6D7B12DF14a9R8C" TargetMode="External"/><Relationship Id="rId6" Type="http://schemas.openxmlformats.org/officeDocument/2006/relationships/hyperlink" Target="consultantplus://offline/ref=E5C71C0157D592B2878A7A4A35A7A021DC3F1E103647FF04146F8E1BDC0012A92A17978D91B21DFD6D7B12DF14a9R8C" TargetMode="External"/><Relationship Id="rId5" Type="http://schemas.openxmlformats.org/officeDocument/2006/relationships/hyperlink" Target="consultantplus://offline/ref=E5C71C0157D592B2878A7A4A35A7A021DC3F1E103647FF04146F8E1BDC0012A92A17978D91B21DFD6D7B12DF14a9R8C" TargetMode="External"/><Relationship Id="rId4" Type="http://schemas.openxmlformats.org/officeDocument/2006/relationships/hyperlink" Target="consultantplus://offline/ref=E5C71C0157D592B2878A7A4A35A7A021DC3E1A143A4BFF04146F8E1BDC0012A92A17978D91B21DFD6D7B12DF14a9R8C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O21" sqref="O21"/>
    </sheetView>
  </sheetViews>
  <sheetFormatPr defaultRowHeight="15" x14ac:dyDescent="0.25"/>
  <cols>
    <col min="2" max="2" width="12.85546875" customWidth="1"/>
  </cols>
  <sheetData>
    <row r="1" spans="1:8" x14ac:dyDescent="0.25">
      <c r="C1" s="428" t="s">
        <v>591</v>
      </c>
      <c r="D1" s="428"/>
      <c r="E1" s="428"/>
      <c r="F1" s="428"/>
      <c r="G1" s="428"/>
      <c r="H1" s="428"/>
    </row>
    <row r="2" spans="1:8" ht="47.25" customHeight="1" x14ac:dyDescent="0.25">
      <c r="C2" s="428"/>
      <c r="D2" s="428"/>
      <c r="E2" s="428"/>
      <c r="F2" s="428"/>
      <c r="G2" s="428"/>
      <c r="H2" s="428"/>
    </row>
    <row r="3" spans="1:8" ht="18.75" customHeight="1" x14ac:dyDescent="0.25">
      <c r="D3" s="438" t="s">
        <v>96</v>
      </c>
      <c r="E3" s="438"/>
      <c r="F3" s="438"/>
      <c r="G3" s="438"/>
      <c r="H3" s="438"/>
    </row>
    <row r="4" spans="1:8" ht="42" customHeight="1" x14ac:dyDescent="0.25">
      <c r="C4" s="445" t="s">
        <v>592</v>
      </c>
      <c r="D4" s="445"/>
      <c r="E4" s="445"/>
      <c r="F4" s="445"/>
      <c r="G4" s="445"/>
      <c r="H4" s="445"/>
    </row>
    <row r="5" spans="1:8" ht="28.9" customHeight="1" x14ac:dyDescent="0.25">
      <c r="D5" s="439" t="s">
        <v>553</v>
      </c>
      <c r="E5" s="439"/>
      <c r="F5" s="439"/>
      <c r="G5" s="439"/>
      <c r="H5" s="439"/>
    </row>
    <row r="6" spans="1:8" ht="12.6" customHeight="1" x14ac:dyDescent="0.25">
      <c r="D6" s="440" t="s">
        <v>554</v>
      </c>
      <c r="E6" s="440"/>
      <c r="F6" s="440"/>
      <c r="G6" s="440"/>
      <c r="H6" s="440"/>
    </row>
    <row r="7" spans="1:8" ht="15.6" customHeight="1" x14ac:dyDescent="0.25">
      <c r="D7" s="441" t="s">
        <v>97</v>
      </c>
      <c r="E7" s="441"/>
      <c r="F7" s="441"/>
      <c r="G7" s="441"/>
      <c r="H7" s="441"/>
    </row>
    <row r="8" spans="1:8" ht="14.25" customHeight="1" x14ac:dyDescent="0.25">
      <c r="D8" s="5"/>
      <c r="E8" s="5"/>
      <c r="F8" s="5"/>
      <c r="G8" s="5"/>
      <c r="H8" s="5"/>
    </row>
    <row r="9" spans="1:8" ht="22.5" hidden="1" customHeight="1" x14ac:dyDescent="0.25">
      <c r="D9" s="442"/>
      <c r="E9" s="442"/>
      <c r="F9" s="442"/>
      <c r="G9" s="442"/>
      <c r="H9" s="442"/>
    </row>
    <row r="10" spans="1:8" ht="3" hidden="1" customHeight="1" x14ac:dyDescent="0.25">
      <c r="D10" s="443"/>
      <c r="E10" s="443"/>
      <c r="F10" s="443"/>
      <c r="G10" s="443"/>
      <c r="H10" s="443"/>
    </row>
    <row r="11" spans="1:8" ht="9" customHeight="1" x14ac:dyDescent="0.25">
      <c r="A11" s="6"/>
      <c r="B11" s="6"/>
      <c r="C11" s="6"/>
      <c r="D11" s="7"/>
      <c r="E11" s="7"/>
      <c r="F11" s="7"/>
      <c r="G11" s="7"/>
      <c r="H11" s="7"/>
    </row>
    <row r="12" spans="1:8" hidden="1" x14ac:dyDescent="0.25">
      <c r="A12" s="6"/>
      <c r="B12" s="6"/>
      <c r="C12" s="6"/>
      <c r="D12" s="8"/>
      <c r="E12" s="6"/>
      <c r="F12" s="6"/>
      <c r="G12" s="6"/>
      <c r="H12" s="6"/>
    </row>
    <row r="13" spans="1:8" ht="17.45" customHeight="1" x14ac:dyDescent="0.25">
      <c r="A13" s="444" t="s">
        <v>98</v>
      </c>
      <c r="B13" s="444"/>
      <c r="C13" s="444"/>
      <c r="D13" s="444"/>
      <c r="E13" s="444"/>
      <c r="F13" s="444"/>
      <c r="G13" s="444"/>
      <c r="H13" s="6"/>
    </row>
    <row r="14" spans="1:8" ht="34.9" customHeight="1" x14ac:dyDescent="0.25">
      <c r="A14" s="444" t="s">
        <v>111</v>
      </c>
      <c r="B14" s="444"/>
      <c r="C14" s="444"/>
      <c r="D14" s="444"/>
      <c r="E14" s="444"/>
      <c r="F14" s="444"/>
      <c r="G14" s="444"/>
      <c r="H14" s="6"/>
    </row>
    <row r="15" spans="1:8" ht="18.75" x14ac:dyDescent="0.25">
      <c r="A15" s="9"/>
      <c r="B15" s="9"/>
      <c r="C15" s="9"/>
      <c r="D15" s="9"/>
      <c r="E15" s="9"/>
      <c r="F15" s="10"/>
      <c r="G15" s="11" t="s">
        <v>99</v>
      </c>
      <c r="H15" s="6"/>
    </row>
    <row r="16" spans="1:8" ht="18.75" x14ac:dyDescent="0.25">
      <c r="A16" s="9"/>
      <c r="B16" s="9"/>
      <c r="C16" s="9"/>
      <c r="D16" s="9"/>
      <c r="E16" s="9"/>
      <c r="F16" s="12"/>
      <c r="G16" s="430"/>
      <c r="H16" s="430"/>
    </row>
    <row r="17" spans="1:8" x14ac:dyDescent="0.25">
      <c r="A17" s="435" t="s">
        <v>593</v>
      </c>
      <c r="B17" s="435"/>
      <c r="C17" s="435"/>
      <c r="D17" s="435"/>
      <c r="E17" s="435"/>
      <c r="F17" s="12" t="s">
        <v>100</v>
      </c>
      <c r="G17" s="436">
        <v>44391</v>
      </c>
      <c r="H17" s="437"/>
    </row>
    <row r="18" spans="1:8" ht="24" customHeight="1" x14ac:dyDescent="0.25">
      <c r="A18" s="10"/>
      <c r="B18" s="10"/>
      <c r="C18" s="10"/>
      <c r="D18" s="10"/>
      <c r="E18" s="10"/>
      <c r="F18" s="12" t="s">
        <v>101</v>
      </c>
      <c r="G18" s="430"/>
      <c r="H18" s="430"/>
    </row>
    <row r="19" spans="1:8" x14ac:dyDescent="0.25">
      <c r="A19" s="6"/>
      <c r="B19" s="6"/>
      <c r="C19" s="6"/>
      <c r="D19" s="8"/>
      <c r="E19" s="6"/>
      <c r="F19" s="12"/>
      <c r="G19" s="430"/>
      <c r="H19" s="430"/>
    </row>
    <row r="20" spans="1:8" ht="93.75" customHeight="1" x14ac:dyDescent="0.25">
      <c r="A20" s="428" t="s">
        <v>102</v>
      </c>
      <c r="B20" s="428"/>
      <c r="C20" s="428"/>
      <c r="D20" s="432" t="s">
        <v>94</v>
      </c>
      <c r="E20" s="432"/>
      <c r="F20" s="12" t="s">
        <v>103</v>
      </c>
      <c r="G20" s="430" t="s">
        <v>104</v>
      </c>
      <c r="H20" s="430"/>
    </row>
    <row r="21" spans="1:8" ht="23.25" customHeight="1" x14ac:dyDescent="0.25">
      <c r="A21" s="428"/>
      <c r="B21" s="428"/>
      <c r="C21" s="428"/>
      <c r="D21" s="433"/>
      <c r="E21" s="433"/>
      <c r="F21" s="12" t="s">
        <v>101</v>
      </c>
      <c r="G21" s="434"/>
      <c r="H21" s="434"/>
    </row>
    <row r="22" spans="1:8" ht="14.25" customHeight="1" x14ac:dyDescent="0.25">
      <c r="A22" s="428"/>
      <c r="B22" s="428"/>
      <c r="C22" s="428"/>
      <c r="D22" s="433"/>
      <c r="E22" s="433"/>
      <c r="F22" s="6" t="s">
        <v>105</v>
      </c>
      <c r="G22" s="434">
        <v>2434000991</v>
      </c>
      <c r="H22" s="434"/>
    </row>
    <row r="23" spans="1:8" ht="15" customHeight="1" x14ac:dyDescent="0.25">
      <c r="A23" s="428"/>
      <c r="B23" s="428"/>
      <c r="C23" s="428"/>
      <c r="D23" s="431"/>
      <c r="E23" s="431"/>
      <c r="F23" s="13" t="s">
        <v>106</v>
      </c>
      <c r="G23" s="434">
        <v>243401001</v>
      </c>
      <c r="H23" s="434"/>
    </row>
    <row r="24" spans="1:8" ht="0.75" customHeight="1" x14ac:dyDescent="0.25">
      <c r="A24" s="429"/>
      <c r="B24" s="429"/>
      <c r="C24" s="429"/>
      <c r="D24" s="6"/>
      <c r="E24" s="6"/>
      <c r="F24" s="11"/>
      <c r="G24" s="430"/>
      <c r="H24" s="430"/>
    </row>
    <row r="25" spans="1:8" ht="129.75" customHeight="1" x14ac:dyDescent="0.25">
      <c r="A25" s="429" t="s">
        <v>107</v>
      </c>
      <c r="B25" s="429"/>
      <c r="C25" s="429"/>
      <c r="D25" s="431" t="s">
        <v>489</v>
      </c>
      <c r="E25" s="431"/>
      <c r="F25" s="12" t="s">
        <v>108</v>
      </c>
      <c r="G25" s="430">
        <v>383</v>
      </c>
      <c r="H25" s="430"/>
    </row>
    <row r="26" spans="1:8" ht="39.6" customHeight="1" x14ac:dyDescent="0.25">
      <c r="A26" t="s">
        <v>109</v>
      </c>
      <c r="C26" t="s">
        <v>110</v>
      </c>
      <c r="F26" s="12"/>
      <c r="G26" s="12"/>
      <c r="H26" s="6"/>
    </row>
  </sheetData>
  <mergeCells count="28">
    <mergeCell ref="A17:E17"/>
    <mergeCell ref="G17:H17"/>
    <mergeCell ref="D3:H3"/>
    <mergeCell ref="D5:H5"/>
    <mergeCell ref="D6:H6"/>
    <mergeCell ref="D7:H7"/>
    <mergeCell ref="D9:H9"/>
    <mergeCell ref="D10:H10"/>
    <mergeCell ref="A13:G13"/>
    <mergeCell ref="A14:G14"/>
    <mergeCell ref="G16:H16"/>
    <mergeCell ref="C4:H4"/>
    <mergeCell ref="C1:H2"/>
    <mergeCell ref="A24:C24"/>
    <mergeCell ref="G24:H24"/>
    <mergeCell ref="A25:C25"/>
    <mergeCell ref="D25:E25"/>
    <mergeCell ref="G25:H25"/>
    <mergeCell ref="G18:H18"/>
    <mergeCell ref="G19:H19"/>
    <mergeCell ref="A20:C20"/>
    <mergeCell ref="D20:E20"/>
    <mergeCell ref="G20:H20"/>
    <mergeCell ref="A21:C23"/>
    <mergeCell ref="D21:E23"/>
    <mergeCell ref="G21:H21"/>
    <mergeCell ref="G22:H22"/>
    <mergeCell ref="G23:H2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25" workbookViewId="0">
      <selection activeCell="Q16" sqref="Q16"/>
    </sheetView>
  </sheetViews>
  <sheetFormatPr defaultRowHeight="15" x14ac:dyDescent="0.25"/>
  <cols>
    <col min="1" max="1" width="23" customWidth="1"/>
    <col min="2" max="2" width="14.28515625" customWidth="1"/>
    <col min="3" max="3" width="10.5703125" customWidth="1"/>
    <col min="4" max="4" width="16.28515625" customWidth="1"/>
    <col min="5" max="5" width="19.42578125" customWidth="1"/>
    <col min="6" max="6" width="21.42578125" customWidth="1"/>
    <col min="7" max="8" width="10.85546875" customWidth="1"/>
    <col min="9" max="9" width="19.28515625" customWidth="1"/>
    <col min="10" max="10" width="11.42578125" customWidth="1"/>
    <col min="11" max="11" width="11" customWidth="1"/>
    <col min="16" max="16" width="11.5703125" bestFit="1" customWidth="1"/>
  </cols>
  <sheetData>
    <row r="1" spans="1:16" ht="15.75" x14ac:dyDescent="0.25">
      <c r="A1" s="561" t="s">
        <v>215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</row>
    <row r="2" spans="1:16" x14ac:dyDescent="0.25">
      <c r="E2" s="551" t="s">
        <v>216</v>
      </c>
      <c r="F2" s="551"/>
      <c r="G2" s="551"/>
    </row>
    <row r="3" spans="1:16" ht="15.75" x14ac:dyDescent="0.25">
      <c r="A3" s="546" t="s">
        <v>153</v>
      </c>
      <c r="B3" s="546" t="s">
        <v>1</v>
      </c>
      <c r="C3" s="546" t="s">
        <v>217</v>
      </c>
      <c r="D3" s="546"/>
      <c r="E3" s="546"/>
      <c r="F3" s="546" t="s">
        <v>218</v>
      </c>
      <c r="G3" s="546"/>
      <c r="H3" s="546"/>
      <c r="I3" s="546" t="s">
        <v>157</v>
      </c>
      <c r="J3" s="546"/>
      <c r="K3" s="546"/>
    </row>
    <row r="4" spans="1:16" ht="15.75" x14ac:dyDescent="0.25">
      <c r="A4" s="546"/>
      <c r="B4" s="546"/>
      <c r="C4" s="81" t="s">
        <v>79</v>
      </c>
      <c r="D4" s="81" t="s">
        <v>80</v>
      </c>
      <c r="E4" s="81" t="s">
        <v>81</v>
      </c>
      <c r="F4" s="81" t="s">
        <v>79</v>
      </c>
      <c r="G4" s="81" t="s">
        <v>80</v>
      </c>
      <c r="H4" s="81" t="s">
        <v>81</v>
      </c>
      <c r="I4" s="81" t="s">
        <v>79</v>
      </c>
      <c r="J4" s="81" t="s">
        <v>80</v>
      </c>
      <c r="K4" s="81" t="s">
        <v>81</v>
      </c>
    </row>
    <row r="5" spans="1:16" ht="78.75" x14ac:dyDescent="0.25">
      <c r="A5" s="546"/>
      <c r="B5" s="546"/>
      <c r="C5" s="81" t="s">
        <v>60</v>
      </c>
      <c r="D5" s="81" t="s">
        <v>61</v>
      </c>
      <c r="E5" s="81" t="s">
        <v>62</v>
      </c>
      <c r="F5" s="81" t="s">
        <v>60</v>
      </c>
      <c r="G5" s="81" t="s">
        <v>61</v>
      </c>
      <c r="H5" s="81" t="s">
        <v>62</v>
      </c>
      <c r="I5" s="81" t="s">
        <v>60</v>
      </c>
      <c r="J5" s="81" t="s">
        <v>61</v>
      </c>
      <c r="K5" s="81" t="s">
        <v>62</v>
      </c>
    </row>
    <row r="6" spans="1:16" ht="15.75" x14ac:dyDescent="0.25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  <c r="K6" s="81">
        <v>11</v>
      </c>
    </row>
    <row r="7" spans="1:16" ht="34.5" customHeight="1" x14ac:dyDescent="0.25">
      <c r="A7" s="105" t="s">
        <v>219</v>
      </c>
      <c r="B7" s="81"/>
      <c r="C7" s="92">
        <v>10</v>
      </c>
      <c r="D7" s="92"/>
      <c r="E7" s="92"/>
      <c r="F7" s="92">
        <v>3000</v>
      </c>
      <c r="G7" s="92"/>
      <c r="H7" s="92"/>
      <c r="I7" s="152">
        <v>30000</v>
      </c>
      <c r="J7" s="92"/>
      <c r="K7" s="92"/>
    </row>
    <row r="8" spans="1:16" ht="18.75" customHeight="1" x14ac:dyDescent="0.25">
      <c r="A8" s="105" t="s">
        <v>220</v>
      </c>
      <c r="B8" s="81"/>
      <c r="C8" s="92">
        <v>1</v>
      </c>
      <c r="D8" s="92"/>
      <c r="E8" s="92"/>
      <c r="F8" s="92">
        <f>250000-100300-147494</f>
        <v>2206</v>
      </c>
      <c r="G8" s="92"/>
      <c r="H8" s="92"/>
      <c r="I8" s="152">
        <f>F8</f>
        <v>2206</v>
      </c>
      <c r="J8" s="92"/>
      <c r="K8" s="92"/>
    </row>
    <row r="9" spans="1:16" ht="33" customHeight="1" x14ac:dyDescent="0.25">
      <c r="A9" s="105" t="s">
        <v>221</v>
      </c>
      <c r="B9" s="81"/>
      <c r="C9" s="92">
        <v>1</v>
      </c>
      <c r="D9" s="92"/>
      <c r="E9" s="92"/>
      <c r="F9" s="92">
        <f>99532.5-20000</f>
        <v>79532.5</v>
      </c>
      <c r="G9" s="92"/>
      <c r="H9" s="92"/>
      <c r="I9" s="152">
        <f>F9</f>
        <v>79532.5</v>
      </c>
      <c r="J9" s="92"/>
      <c r="K9" s="92"/>
    </row>
    <row r="10" spans="1:16" ht="48" customHeight="1" x14ac:dyDescent="0.25">
      <c r="A10" s="105" t="s">
        <v>222</v>
      </c>
      <c r="B10" s="81"/>
      <c r="C10" s="92">
        <v>1</v>
      </c>
      <c r="D10" s="92"/>
      <c r="E10" s="92"/>
      <c r="F10" s="92">
        <v>24011.22</v>
      </c>
      <c r="G10" s="92"/>
      <c r="H10" s="92"/>
      <c r="I10" s="92">
        <v>24011.22</v>
      </c>
      <c r="J10" s="92"/>
      <c r="K10" s="92"/>
    </row>
    <row r="11" spans="1:16" ht="18" customHeight="1" x14ac:dyDescent="0.25">
      <c r="A11" s="106" t="s">
        <v>223</v>
      </c>
      <c r="B11" s="94"/>
      <c r="C11" s="95">
        <v>1</v>
      </c>
      <c r="D11" s="95"/>
      <c r="E11" s="95"/>
      <c r="F11" s="95">
        <v>25000</v>
      </c>
      <c r="G11" s="95"/>
      <c r="H11" s="95"/>
      <c r="I11" s="95">
        <f>C11*F11</f>
        <v>25000</v>
      </c>
      <c r="J11" s="95"/>
      <c r="K11" s="95"/>
    </row>
    <row r="12" spans="1:16" ht="36.75" customHeight="1" x14ac:dyDescent="0.25">
      <c r="A12" s="107" t="s">
        <v>224</v>
      </c>
      <c r="B12" s="94"/>
      <c r="C12" s="95">
        <v>2</v>
      </c>
      <c r="D12" s="95"/>
      <c r="E12" s="95"/>
      <c r="F12" s="95">
        <v>30000</v>
      </c>
      <c r="G12" s="95"/>
      <c r="H12" s="95"/>
      <c r="I12" s="95">
        <v>60000</v>
      </c>
      <c r="J12" s="95"/>
      <c r="K12" s="95"/>
    </row>
    <row r="13" spans="1:16" ht="33.75" customHeight="1" x14ac:dyDescent="0.25">
      <c r="A13" s="108" t="s">
        <v>225</v>
      </c>
      <c r="B13" s="96"/>
      <c r="C13" s="97">
        <v>1</v>
      </c>
      <c r="D13" s="97"/>
      <c r="E13" s="97"/>
      <c r="F13" s="97">
        <v>20000</v>
      </c>
      <c r="G13" s="97"/>
      <c r="H13" s="97"/>
      <c r="I13" s="95">
        <v>20000</v>
      </c>
      <c r="J13" s="95"/>
      <c r="K13" s="95"/>
    </row>
    <row r="14" spans="1:16" ht="16.5" customHeight="1" x14ac:dyDescent="0.25">
      <c r="A14" s="108" t="s">
        <v>226</v>
      </c>
      <c r="B14" s="96"/>
      <c r="C14" s="97">
        <v>1</v>
      </c>
      <c r="D14" s="97"/>
      <c r="E14" s="97"/>
      <c r="F14" s="97">
        <v>100000</v>
      </c>
      <c r="G14" s="97"/>
      <c r="H14" s="97"/>
      <c r="I14" s="95">
        <v>100000</v>
      </c>
      <c r="J14" s="95"/>
      <c r="K14" s="95"/>
    </row>
    <row r="15" spans="1:16" ht="33" customHeight="1" x14ac:dyDescent="0.25">
      <c r="A15" s="108" t="s">
        <v>227</v>
      </c>
      <c r="B15" s="96"/>
      <c r="C15" s="97">
        <v>1</v>
      </c>
      <c r="D15" s="97"/>
      <c r="E15" s="97"/>
      <c r="F15" s="97">
        <v>6000</v>
      </c>
      <c r="G15" s="97"/>
      <c r="H15" s="97"/>
      <c r="I15" s="95">
        <f t="shared" ref="I15" si="0">C15*F15</f>
        <v>6000</v>
      </c>
      <c r="J15" s="95"/>
      <c r="K15" s="95"/>
    </row>
    <row r="16" spans="1:16" ht="51.75" customHeight="1" x14ac:dyDescent="0.25">
      <c r="A16" s="108" t="s">
        <v>300</v>
      </c>
      <c r="B16" s="96"/>
      <c r="C16" s="97">
        <v>1</v>
      </c>
      <c r="D16" s="97"/>
      <c r="E16" s="97"/>
      <c r="F16" s="97">
        <v>30000</v>
      </c>
      <c r="G16" s="97"/>
      <c r="H16" s="97"/>
      <c r="I16" s="95">
        <v>30000</v>
      </c>
      <c r="J16" s="95"/>
      <c r="K16" s="95"/>
      <c r="P16" s="151"/>
    </row>
    <row r="17" spans="1:11" ht="15.75" x14ac:dyDescent="0.25">
      <c r="A17" s="82" t="s">
        <v>135</v>
      </c>
      <c r="B17" s="81">
        <v>9000</v>
      </c>
      <c r="C17" s="92" t="s">
        <v>11</v>
      </c>
      <c r="D17" s="92" t="s">
        <v>11</v>
      </c>
      <c r="E17" s="92" t="s">
        <v>11</v>
      </c>
      <c r="F17" s="98" t="s">
        <v>11</v>
      </c>
      <c r="G17" s="98" t="s">
        <v>11</v>
      </c>
      <c r="H17" s="98" t="s">
        <v>11</v>
      </c>
      <c r="I17" s="99">
        <f>I7+I8+I9+I10+I11+I12+I13+I14+I15+I16</f>
        <v>376749.72</v>
      </c>
      <c r="J17" s="99">
        <f t="shared" ref="J17:K17" si="1">J7+J8+J9+J10+J11+J12+J13+J14</f>
        <v>0</v>
      </c>
      <c r="K17" s="99">
        <f t="shared" si="1"/>
        <v>0</v>
      </c>
    </row>
    <row r="18" spans="1:11" ht="15.75" x14ac:dyDescent="0.25">
      <c r="A18" s="100"/>
      <c r="B18" s="101"/>
      <c r="C18" s="102"/>
      <c r="D18" s="102"/>
      <c r="E18" s="102"/>
      <c r="F18" s="103"/>
      <c r="G18" s="103"/>
      <c r="H18" s="103"/>
      <c r="I18" s="103"/>
      <c r="J18" s="103"/>
      <c r="K18" s="103"/>
    </row>
    <row r="19" spans="1:11" ht="15.75" x14ac:dyDescent="0.25">
      <c r="A19" s="100"/>
      <c r="B19" s="101"/>
      <c r="C19" s="102"/>
      <c r="D19" s="102"/>
      <c r="E19" s="102"/>
      <c r="F19" s="103"/>
      <c r="G19" s="103"/>
      <c r="H19" s="103"/>
      <c r="I19" s="103"/>
      <c r="J19" s="103"/>
      <c r="K19" s="103"/>
    </row>
    <row r="20" spans="1:11" ht="15.75" x14ac:dyDescent="0.25">
      <c r="A20" s="102"/>
      <c r="B20" s="101"/>
      <c r="C20" s="565" t="s">
        <v>228</v>
      </c>
      <c r="D20" s="565"/>
      <c r="E20" s="565"/>
      <c r="F20" s="565"/>
      <c r="G20" s="565"/>
      <c r="H20" s="565"/>
      <c r="I20" s="565"/>
      <c r="J20" s="103"/>
      <c r="K20" s="103"/>
    </row>
    <row r="21" spans="1:11" x14ac:dyDescent="0.2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ht="15.75" x14ac:dyDescent="0.25">
      <c r="A22" s="104"/>
      <c r="B22" s="104"/>
      <c r="C22" s="104"/>
      <c r="D22" s="104"/>
      <c r="E22" s="414" t="s">
        <v>584</v>
      </c>
      <c r="F22" s="414"/>
      <c r="G22" s="414"/>
      <c r="H22" s="414"/>
      <c r="I22" s="104"/>
      <c r="J22" s="104"/>
      <c r="K22" s="104"/>
    </row>
    <row r="28" spans="1:11" ht="18.75" x14ac:dyDescent="0.3">
      <c r="A28" s="233" t="s">
        <v>381</v>
      </c>
      <c r="B28" s="143"/>
      <c r="C28" s="143"/>
      <c r="D28" s="143"/>
      <c r="E28" s="143"/>
      <c r="F28" s="143"/>
      <c r="H28" s="234"/>
    </row>
    <row r="29" spans="1:11" x14ac:dyDescent="0.25">
      <c r="A29" s="406"/>
      <c r="B29" s="406"/>
      <c r="C29" s="406"/>
      <c r="D29" s="406"/>
      <c r="E29" s="406"/>
      <c r="F29" s="406"/>
      <c r="G29" s="406"/>
      <c r="H29" s="234"/>
    </row>
    <row r="30" spans="1:11" ht="18.75" x14ac:dyDescent="0.3">
      <c r="A30" s="143" t="s">
        <v>254</v>
      </c>
      <c r="B30" s="143"/>
      <c r="C30" s="566" t="s">
        <v>382</v>
      </c>
      <c r="D30" s="566"/>
      <c r="E30" s="235"/>
      <c r="F30" s="235"/>
      <c r="G30" s="406"/>
      <c r="H30" s="234"/>
    </row>
    <row r="31" spans="1:11" ht="18.75" x14ac:dyDescent="0.3">
      <c r="A31" s="236" t="s">
        <v>272</v>
      </c>
      <c r="B31" s="143"/>
      <c r="C31" s="567" t="s">
        <v>383</v>
      </c>
      <c r="D31" s="567"/>
      <c r="E31" s="567"/>
      <c r="F31" s="567"/>
      <c r="G31" s="406"/>
      <c r="H31" s="234"/>
    </row>
    <row r="32" spans="1:11" ht="18.75" x14ac:dyDescent="0.3">
      <c r="A32" s="568" t="s">
        <v>274</v>
      </c>
      <c r="B32" s="568"/>
      <c r="C32" s="567" t="s">
        <v>384</v>
      </c>
      <c r="D32" s="567"/>
      <c r="E32" s="407"/>
      <c r="F32" s="407"/>
      <c r="G32" s="406"/>
      <c r="H32" s="234"/>
    </row>
    <row r="33" spans="1:8" x14ac:dyDescent="0.25">
      <c r="A33" s="406"/>
      <c r="B33" s="564" t="s">
        <v>391</v>
      </c>
      <c r="C33" s="564"/>
      <c r="D33" s="564"/>
      <c r="E33" s="406"/>
      <c r="F33" s="406"/>
      <c r="G33" s="406"/>
      <c r="H33" s="234"/>
    </row>
    <row r="34" spans="1:8" ht="45" x14ac:dyDescent="0.25">
      <c r="A34" s="238" t="s">
        <v>261</v>
      </c>
      <c r="B34" s="238" t="s">
        <v>153</v>
      </c>
      <c r="C34" s="238" t="s">
        <v>385</v>
      </c>
      <c r="D34" s="238" t="s">
        <v>386</v>
      </c>
      <c r="E34" s="377" t="s">
        <v>387</v>
      </c>
      <c r="F34" s="379"/>
      <c r="G34" s="406"/>
      <c r="H34" s="234"/>
    </row>
    <row r="35" spans="1:8" x14ac:dyDescent="0.25">
      <c r="A35" s="238">
        <v>1</v>
      </c>
      <c r="B35" s="238">
        <v>2</v>
      </c>
      <c r="C35" s="238">
        <v>3</v>
      </c>
      <c r="D35" s="238">
        <v>5</v>
      </c>
      <c r="E35" s="376">
        <v>6</v>
      </c>
      <c r="F35" s="380"/>
      <c r="G35" s="406"/>
      <c r="H35" s="234"/>
    </row>
    <row r="36" spans="1:8" ht="51" x14ac:dyDescent="0.25">
      <c r="A36" s="238">
        <v>1</v>
      </c>
      <c r="B36" s="381" t="s">
        <v>388</v>
      </c>
      <c r="C36" s="238">
        <v>1</v>
      </c>
      <c r="D36" s="242">
        <f>476092.8-20000+598353.6</f>
        <v>1054446.3999999999</v>
      </c>
      <c r="E36" s="243">
        <f>C36*D36</f>
        <v>1054446.3999999999</v>
      </c>
      <c r="F36" s="244"/>
      <c r="G36" s="406"/>
      <c r="H36" s="234"/>
    </row>
    <row r="37" spans="1:8" ht="25.5" x14ac:dyDescent="0.25">
      <c r="A37" s="238">
        <v>2</v>
      </c>
      <c r="B37" s="381" t="s">
        <v>389</v>
      </c>
      <c r="C37" s="238"/>
      <c r="D37" s="242"/>
      <c r="E37" s="243">
        <v>183087</v>
      </c>
      <c r="F37" s="244"/>
      <c r="G37" s="406"/>
      <c r="H37" s="234"/>
    </row>
    <row r="38" spans="1:8" x14ac:dyDescent="0.25">
      <c r="A38" s="238">
        <v>3</v>
      </c>
      <c r="B38" s="381" t="s">
        <v>390</v>
      </c>
      <c r="C38" s="238"/>
      <c r="D38" s="242"/>
      <c r="E38" s="243">
        <v>130883</v>
      </c>
      <c r="F38" s="244"/>
      <c r="G38" s="406"/>
      <c r="H38" s="234"/>
    </row>
    <row r="39" spans="1:8" x14ac:dyDescent="0.25">
      <c r="A39" s="238"/>
      <c r="B39" s="125" t="s">
        <v>135</v>
      </c>
      <c r="C39" s="238"/>
      <c r="D39" s="238"/>
      <c r="E39" s="243">
        <f>E36+E37+E38</f>
        <v>1368416.4</v>
      </c>
      <c r="F39" s="244"/>
      <c r="G39" s="406"/>
      <c r="H39" s="234"/>
    </row>
    <row r="40" spans="1:8" x14ac:dyDescent="0.25">
      <c r="A40" s="234"/>
      <c r="B40" s="245"/>
      <c r="C40" s="245"/>
      <c r="D40" s="245"/>
      <c r="E40" s="245"/>
      <c r="F40" s="245"/>
      <c r="G40" s="234"/>
      <c r="H40" s="234"/>
    </row>
    <row r="41" spans="1:8" x14ac:dyDescent="0.25">
      <c r="A41" s="406"/>
      <c r="B41" s="406"/>
      <c r="C41" s="406"/>
      <c r="D41" s="406"/>
      <c r="E41" s="406"/>
      <c r="F41" s="406"/>
      <c r="G41" s="406"/>
    </row>
    <row r="42" spans="1:8" x14ac:dyDescent="0.25">
      <c r="A42" s="406"/>
      <c r="B42" s="563" t="s">
        <v>578</v>
      </c>
      <c r="C42" s="563"/>
      <c r="D42" s="406"/>
      <c r="E42" s="563" t="s">
        <v>569</v>
      </c>
      <c r="F42" s="563"/>
      <c r="G42" s="406"/>
    </row>
    <row r="43" spans="1:8" x14ac:dyDescent="0.25">
      <c r="A43" s="406"/>
      <c r="B43" s="563" t="s">
        <v>570</v>
      </c>
      <c r="C43" s="563"/>
      <c r="D43" s="406"/>
      <c r="E43" s="563" t="s">
        <v>571</v>
      </c>
      <c r="F43" s="563"/>
      <c r="G43" s="406"/>
    </row>
    <row r="44" spans="1:8" x14ac:dyDescent="0.25">
      <c r="A44" s="406"/>
      <c r="B44" s="406"/>
      <c r="C44" s="406"/>
      <c r="D44" s="406"/>
      <c r="E44" s="406"/>
      <c r="F44" s="406"/>
      <c r="G44" s="406"/>
    </row>
    <row r="45" spans="1:8" x14ac:dyDescent="0.25">
      <c r="A45" s="406"/>
      <c r="B45" s="406"/>
      <c r="C45" s="406"/>
      <c r="D45" s="406"/>
      <c r="E45" s="406"/>
      <c r="F45" s="406"/>
      <c r="G45" s="406"/>
    </row>
    <row r="46" spans="1:8" x14ac:dyDescent="0.25">
      <c r="A46" s="406"/>
      <c r="B46" s="406"/>
      <c r="C46" s="406"/>
      <c r="D46" s="406"/>
      <c r="E46" s="406"/>
      <c r="F46" s="406"/>
      <c r="G46" s="406"/>
    </row>
  </sheetData>
  <mergeCells count="17">
    <mergeCell ref="A1:K1"/>
    <mergeCell ref="E2:G2"/>
    <mergeCell ref="A3:A5"/>
    <mergeCell ref="B3:B5"/>
    <mergeCell ref="C3:E3"/>
    <mergeCell ref="F3:H3"/>
    <mergeCell ref="I3:K3"/>
    <mergeCell ref="C20:I20"/>
    <mergeCell ref="C30:D30"/>
    <mergeCell ref="C31:F31"/>
    <mergeCell ref="A32:B32"/>
    <mergeCell ref="C32:D32"/>
    <mergeCell ref="B42:C42"/>
    <mergeCell ref="E42:F42"/>
    <mergeCell ref="B43:C43"/>
    <mergeCell ref="E43:F43"/>
    <mergeCell ref="B33:D33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opLeftCell="A47" workbookViewId="0">
      <selection activeCell="Q58" sqref="Q58"/>
    </sheetView>
  </sheetViews>
  <sheetFormatPr defaultRowHeight="15" x14ac:dyDescent="0.25"/>
  <cols>
    <col min="1" max="1" width="33.85546875" customWidth="1"/>
    <col min="2" max="2" width="6.42578125" customWidth="1"/>
    <col min="3" max="3" width="11.140625" customWidth="1"/>
    <col min="4" max="5" width="12.140625" customWidth="1"/>
    <col min="6" max="6" width="16.28515625" customWidth="1"/>
    <col min="7" max="8" width="14.140625" customWidth="1"/>
    <col min="9" max="9" width="18.28515625" customWidth="1"/>
    <col min="10" max="10" width="14" customWidth="1"/>
    <col min="11" max="11" width="14.140625" customWidth="1"/>
    <col min="14" max="15" width="12.5703125" bestFit="1" customWidth="1"/>
  </cols>
  <sheetData>
    <row r="1" spans="1:11" ht="15.75" x14ac:dyDescent="0.25">
      <c r="A1" s="552" t="s">
        <v>229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 x14ac:dyDescent="0.25">
      <c r="E2" s="551" t="s">
        <v>230</v>
      </c>
      <c r="F2" s="551"/>
      <c r="G2" s="551"/>
      <c r="H2" s="551"/>
    </row>
    <row r="3" spans="1:11" ht="15.75" x14ac:dyDescent="0.25">
      <c r="A3" s="546" t="s">
        <v>153</v>
      </c>
      <c r="B3" s="546" t="s">
        <v>1</v>
      </c>
      <c r="C3" s="546" t="s">
        <v>231</v>
      </c>
      <c r="D3" s="546"/>
      <c r="E3" s="546"/>
      <c r="F3" s="546" t="s">
        <v>232</v>
      </c>
      <c r="G3" s="546"/>
      <c r="H3" s="546"/>
      <c r="I3" s="546" t="s">
        <v>157</v>
      </c>
      <c r="J3" s="546"/>
      <c r="K3" s="546"/>
    </row>
    <row r="4" spans="1:11" ht="15.75" x14ac:dyDescent="0.25">
      <c r="A4" s="546"/>
      <c r="B4" s="546"/>
      <c r="C4" s="81" t="s">
        <v>79</v>
      </c>
      <c r="D4" s="81" t="s">
        <v>80</v>
      </c>
      <c r="E4" s="81" t="s">
        <v>81</v>
      </c>
      <c r="F4" s="81" t="s">
        <v>79</v>
      </c>
      <c r="G4" s="81" t="s">
        <v>80</v>
      </c>
      <c r="H4" s="81" t="s">
        <v>81</v>
      </c>
      <c r="I4" s="81" t="s">
        <v>79</v>
      </c>
      <c r="J4" s="81" t="s">
        <v>80</v>
      </c>
      <c r="K4" s="81" t="s">
        <v>81</v>
      </c>
    </row>
    <row r="5" spans="1:11" ht="63" x14ac:dyDescent="0.25">
      <c r="A5" s="546"/>
      <c r="B5" s="546"/>
      <c r="C5" s="81" t="s">
        <v>60</v>
      </c>
      <c r="D5" s="81" t="s">
        <v>61</v>
      </c>
      <c r="E5" s="81" t="s">
        <v>62</v>
      </c>
      <c r="F5" s="81" t="s">
        <v>60</v>
      </c>
      <c r="G5" s="81">
        <v>14</v>
      </c>
      <c r="H5" s="81" t="s">
        <v>62</v>
      </c>
      <c r="I5" s="81" t="s">
        <v>60</v>
      </c>
      <c r="J5" s="81" t="s">
        <v>61</v>
      </c>
      <c r="K5" s="81" t="s">
        <v>62</v>
      </c>
    </row>
    <row r="6" spans="1:11" ht="15.75" x14ac:dyDescent="0.25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  <c r="K6" s="81">
        <v>11</v>
      </c>
    </row>
    <row r="7" spans="1:11" ht="30" x14ac:dyDescent="0.25">
      <c r="A7" s="109" t="s">
        <v>233</v>
      </c>
      <c r="B7" s="110"/>
      <c r="C7" s="111">
        <v>1</v>
      </c>
      <c r="D7" s="111"/>
      <c r="E7" s="111"/>
      <c r="F7" s="95">
        <v>40000</v>
      </c>
      <c r="G7" s="95"/>
      <c r="H7" s="95"/>
      <c r="I7" s="98">
        <v>80000</v>
      </c>
      <c r="J7" s="98">
        <f t="shared" ref="J7:K9" si="0">D7*G7</f>
        <v>0</v>
      </c>
      <c r="K7" s="98">
        <f t="shared" si="0"/>
        <v>0</v>
      </c>
    </row>
    <row r="8" spans="1:11" ht="30" x14ac:dyDescent="0.25">
      <c r="A8" s="109" t="s">
        <v>234</v>
      </c>
      <c r="B8" s="112"/>
      <c r="C8" s="113">
        <v>4</v>
      </c>
      <c r="D8" s="113"/>
      <c r="E8" s="113"/>
      <c r="F8" s="97">
        <v>15000</v>
      </c>
      <c r="G8" s="97"/>
      <c r="H8" s="97"/>
      <c r="I8" s="98">
        <v>60000</v>
      </c>
      <c r="J8" s="98">
        <f t="shared" si="0"/>
        <v>0</v>
      </c>
      <c r="K8" s="98">
        <f t="shared" si="0"/>
        <v>0</v>
      </c>
    </row>
    <row r="9" spans="1:11" ht="58.5" customHeight="1" x14ac:dyDescent="0.25">
      <c r="A9" s="114" t="s">
        <v>235</v>
      </c>
      <c r="B9" s="96"/>
      <c r="C9" s="115">
        <v>1</v>
      </c>
      <c r="D9" s="115"/>
      <c r="E9" s="115"/>
      <c r="F9" s="97">
        <v>150000</v>
      </c>
      <c r="G9" s="97"/>
      <c r="H9" s="97"/>
      <c r="I9" s="98">
        <v>150000</v>
      </c>
      <c r="J9" s="98">
        <f t="shared" si="0"/>
        <v>0</v>
      </c>
      <c r="K9" s="98">
        <f t="shared" si="0"/>
        <v>0</v>
      </c>
    </row>
    <row r="10" spans="1:11" ht="30" x14ac:dyDescent="0.25">
      <c r="A10" s="114" t="s">
        <v>236</v>
      </c>
      <c r="B10" s="96"/>
      <c r="C10" s="115">
        <v>1</v>
      </c>
      <c r="D10" s="115"/>
      <c r="E10" s="115"/>
      <c r="F10" s="97">
        <v>20000</v>
      </c>
      <c r="G10" s="97"/>
      <c r="H10" s="97"/>
      <c r="I10" s="98">
        <f>F10</f>
        <v>20000</v>
      </c>
      <c r="J10" s="98"/>
      <c r="K10" s="98"/>
    </row>
    <row r="11" spans="1:11" ht="30" x14ac:dyDescent="0.25">
      <c r="A11" s="114" t="s">
        <v>237</v>
      </c>
      <c r="B11" s="96"/>
      <c r="C11" s="115">
        <v>1</v>
      </c>
      <c r="D11" s="115"/>
      <c r="E11" s="115"/>
      <c r="F11" s="97">
        <v>50000</v>
      </c>
      <c r="G11" s="97"/>
      <c r="H11" s="97"/>
      <c r="I11" s="98">
        <v>50000</v>
      </c>
      <c r="J11" s="98"/>
      <c r="K11" s="98"/>
    </row>
    <row r="12" spans="1:11" ht="15.75" x14ac:dyDescent="0.25">
      <c r="A12" s="82" t="s">
        <v>135</v>
      </c>
      <c r="B12" s="81">
        <v>9000</v>
      </c>
      <c r="C12" s="81" t="s">
        <v>11</v>
      </c>
      <c r="D12" s="81" t="s">
        <v>11</v>
      </c>
      <c r="E12" s="81" t="s">
        <v>11</v>
      </c>
      <c r="F12" s="98" t="s">
        <v>11</v>
      </c>
      <c r="G12" s="98" t="s">
        <v>11</v>
      </c>
      <c r="H12" s="98" t="s">
        <v>11</v>
      </c>
      <c r="I12" s="98">
        <f>I7+I8+I9+I11+I10</f>
        <v>360000</v>
      </c>
      <c r="J12" s="98">
        <f>J7+J8+J9</f>
        <v>0</v>
      </c>
      <c r="K12" s="98">
        <f>K7+K8+K9</f>
        <v>0</v>
      </c>
    </row>
    <row r="13" spans="1:11" x14ac:dyDescent="0.25">
      <c r="H13" s="116"/>
      <c r="I13" s="117"/>
    </row>
    <row r="14" spans="1:11" x14ac:dyDescent="0.25">
      <c r="H14" s="116"/>
      <c r="I14" s="117"/>
    </row>
    <row r="15" spans="1:11" x14ac:dyDescent="0.25">
      <c r="E15" s="507" t="s">
        <v>238</v>
      </c>
      <c r="F15" s="507"/>
      <c r="G15" s="507"/>
      <c r="H15" s="507"/>
      <c r="I15" s="507"/>
      <c r="J15" s="507"/>
    </row>
    <row r="17" spans="1:11" x14ac:dyDescent="0.25">
      <c r="F17" s="507" t="s">
        <v>239</v>
      </c>
      <c r="G17" s="507"/>
      <c r="H17" s="507"/>
      <c r="I17" s="507"/>
      <c r="J17" s="507"/>
    </row>
    <row r="21" spans="1:11" x14ac:dyDescent="0.25">
      <c r="H21" s="507"/>
      <c r="I21" s="507"/>
      <c r="J21" s="507"/>
      <c r="K21" s="507"/>
    </row>
    <row r="22" spans="1:11" ht="15.75" x14ac:dyDescent="0.25">
      <c r="A22" s="552" t="s">
        <v>229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</row>
    <row r="23" spans="1:11" x14ac:dyDescent="0.25">
      <c r="E23" s="551" t="s">
        <v>240</v>
      </c>
      <c r="F23" s="551"/>
      <c r="G23" s="551"/>
      <c r="H23" s="551"/>
    </row>
    <row r="24" spans="1:11" ht="15.75" x14ac:dyDescent="0.25">
      <c r="A24" s="546" t="s">
        <v>153</v>
      </c>
      <c r="B24" s="546" t="s">
        <v>1</v>
      </c>
      <c r="C24" s="546" t="s">
        <v>231</v>
      </c>
      <c r="D24" s="546"/>
      <c r="E24" s="546"/>
      <c r="F24" s="546" t="s">
        <v>232</v>
      </c>
      <c r="G24" s="546"/>
      <c r="H24" s="546"/>
      <c r="I24" s="546" t="s">
        <v>157</v>
      </c>
      <c r="J24" s="546"/>
      <c r="K24" s="546"/>
    </row>
    <row r="25" spans="1:11" ht="15.75" x14ac:dyDescent="0.25">
      <c r="A25" s="546"/>
      <c r="B25" s="546"/>
      <c r="C25" s="81" t="s">
        <v>79</v>
      </c>
      <c r="D25" s="81" t="s">
        <v>80</v>
      </c>
      <c r="E25" s="81" t="s">
        <v>81</v>
      </c>
      <c r="F25" s="81" t="s">
        <v>79</v>
      </c>
      <c r="G25" s="81" t="s">
        <v>80</v>
      </c>
      <c r="H25" s="81" t="s">
        <v>81</v>
      </c>
      <c r="I25" s="81" t="s">
        <v>79</v>
      </c>
      <c r="J25" s="81" t="s">
        <v>80</v>
      </c>
      <c r="K25" s="81" t="s">
        <v>81</v>
      </c>
    </row>
    <row r="26" spans="1:11" ht="63" x14ac:dyDescent="0.25">
      <c r="A26" s="546"/>
      <c r="B26" s="546"/>
      <c r="C26" s="81" t="s">
        <v>60</v>
      </c>
      <c r="D26" s="81" t="s">
        <v>61</v>
      </c>
      <c r="E26" s="81" t="s">
        <v>62</v>
      </c>
      <c r="F26" s="81" t="s">
        <v>60</v>
      </c>
      <c r="G26" s="81">
        <v>14</v>
      </c>
      <c r="H26" s="81" t="s">
        <v>62</v>
      </c>
      <c r="I26" s="81" t="s">
        <v>60</v>
      </c>
      <c r="J26" s="81" t="s">
        <v>61</v>
      </c>
      <c r="K26" s="81" t="s">
        <v>62</v>
      </c>
    </row>
    <row r="27" spans="1:11" ht="15.75" x14ac:dyDescent="0.25">
      <c r="A27" s="81">
        <v>1</v>
      </c>
      <c r="B27" s="81">
        <v>2</v>
      </c>
      <c r="C27" s="81">
        <v>3</v>
      </c>
      <c r="D27" s="81">
        <v>4</v>
      </c>
      <c r="E27" s="81">
        <v>5</v>
      </c>
      <c r="F27" s="81">
        <v>6</v>
      </c>
      <c r="G27" s="81">
        <v>7</v>
      </c>
      <c r="H27" s="81">
        <v>8</v>
      </c>
      <c r="I27" s="81">
        <v>9</v>
      </c>
      <c r="J27" s="81">
        <v>10</v>
      </c>
      <c r="K27" s="81">
        <v>11</v>
      </c>
    </row>
    <row r="28" spans="1:11" ht="30" x14ac:dyDescent="0.25">
      <c r="A28" s="109" t="s">
        <v>233</v>
      </c>
      <c r="B28" s="110"/>
      <c r="C28" s="111">
        <v>1</v>
      </c>
      <c r="D28" s="111"/>
      <c r="E28" s="111"/>
      <c r="F28" s="95">
        <v>40000</v>
      </c>
      <c r="G28" s="95"/>
      <c r="H28" s="95"/>
      <c r="I28" s="98">
        <f>F28</f>
        <v>40000</v>
      </c>
      <c r="J28" s="98">
        <f t="shared" ref="J28:K28" si="1">D28*G28</f>
        <v>0</v>
      </c>
      <c r="K28" s="98">
        <f t="shared" si="1"/>
        <v>0</v>
      </c>
    </row>
    <row r="29" spans="1:11" ht="67.5" customHeight="1" x14ac:dyDescent="0.25">
      <c r="A29" s="109" t="s">
        <v>241</v>
      </c>
      <c r="B29" s="110"/>
      <c r="C29" s="111">
        <v>10</v>
      </c>
      <c r="D29" s="111"/>
      <c r="E29" s="111"/>
      <c r="F29" s="95">
        <v>5000</v>
      </c>
      <c r="G29" s="95"/>
      <c r="H29" s="95"/>
      <c r="I29" s="98">
        <v>50000</v>
      </c>
      <c r="J29" s="98"/>
      <c r="K29" s="98"/>
    </row>
    <row r="30" spans="1:11" ht="30" x14ac:dyDescent="0.25">
      <c r="A30" s="109" t="s">
        <v>242</v>
      </c>
      <c r="B30" s="112"/>
      <c r="C30" s="113">
        <v>1</v>
      </c>
      <c r="D30" s="113"/>
      <c r="E30" s="113"/>
      <c r="F30" s="97">
        <v>20000</v>
      </c>
      <c r="G30" s="97"/>
      <c r="H30" s="97"/>
      <c r="I30" s="98">
        <v>20000</v>
      </c>
      <c r="J30" s="98"/>
      <c r="K30" s="98"/>
    </row>
    <row r="31" spans="1:11" ht="15.75" x14ac:dyDescent="0.25">
      <c r="A31" s="82" t="s">
        <v>135</v>
      </c>
      <c r="B31" s="81">
        <v>9000</v>
      </c>
      <c r="C31" s="81" t="s">
        <v>11</v>
      </c>
      <c r="D31" s="81" t="s">
        <v>11</v>
      </c>
      <c r="E31" s="81" t="s">
        <v>11</v>
      </c>
      <c r="F31" s="98" t="s">
        <v>11</v>
      </c>
      <c r="G31" s="98" t="s">
        <v>11</v>
      </c>
      <c r="H31" s="98" t="s">
        <v>11</v>
      </c>
      <c r="I31" s="98">
        <f>I28+I29+I30</f>
        <v>110000</v>
      </c>
      <c r="J31" s="98"/>
      <c r="K31" s="98"/>
    </row>
    <row r="32" spans="1:11" x14ac:dyDescent="0.25">
      <c r="H32" s="116"/>
      <c r="I32" s="117"/>
    </row>
    <row r="33" spans="1:15" x14ac:dyDescent="0.25">
      <c r="H33" s="116"/>
      <c r="I33" s="117"/>
    </row>
    <row r="34" spans="1:15" x14ac:dyDescent="0.25">
      <c r="E34" s="507" t="s">
        <v>238</v>
      </c>
      <c r="F34" s="507"/>
      <c r="G34" s="507"/>
      <c r="H34" s="507"/>
      <c r="I34" s="507"/>
      <c r="J34" s="507"/>
    </row>
    <row r="36" spans="1:15" x14ac:dyDescent="0.25">
      <c r="F36" s="507" t="s">
        <v>239</v>
      </c>
      <c r="G36" s="507"/>
      <c r="H36" s="507"/>
      <c r="I36" s="507"/>
      <c r="J36" s="507"/>
    </row>
    <row r="37" spans="1:15" x14ac:dyDescent="0.25">
      <c r="A37" s="104"/>
      <c r="B37" s="104"/>
      <c r="C37" s="104"/>
      <c r="D37" s="104"/>
      <c r="E37" s="575"/>
      <c r="F37" s="575"/>
      <c r="G37" s="575"/>
      <c r="H37" s="575"/>
      <c r="I37" s="575"/>
      <c r="J37" s="104"/>
      <c r="K37" s="104"/>
    </row>
    <row r="38" spans="1:15" x14ac:dyDescent="0.2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</row>
    <row r="39" spans="1:15" x14ac:dyDescent="0.25">
      <c r="H39" s="507"/>
      <c r="I39" s="507"/>
      <c r="J39" s="507"/>
      <c r="K39" s="507"/>
    </row>
    <row r="40" spans="1:15" ht="15.75" x14ac:dyDescent="0.25">
      <c r="A40" s="552" t="s">
        <v>229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</row>
    <row r="41" spans="1:15" x14ac:dyDescent="0.25">
      <c r="E41" s="551" t="s">
        <v>243</v>
      </c>
      <c r="F41" s="551"/>
      <c r="G41" s="551"/>
      <c r="H41" s="551"/>
    </row>
    <row r="42" spans="1:15" ht="15.75" x14ac:dyDescent="0.25">
      <c r="A42" s="546" t="s">
        <v>153</v>
      </c>
      <c r="B42" s="546" t="s">
        <v>1</v>
      </c>
      <c r="C42" s="546" t="s">
        <v>231</v>
      </c>
      <c r="D42" s="546"/>
      <c r="E42" s="546"/>
      <c r="F42" s="546" t="s">
        <v>232</v>
      </c>
      <c r="G42" s="546"/>
      <c r="H42" s="546"/>
      <c r="I42" s="546" t="s">
        <v>157</v>
      </c>
      <c r="J42" s="546"/>
      <c r="K42" s="546"/>
    </row>
    <row r="43" spans="1:15" ht="15.75" x14ac:dyDescent="0.25">
      <c r="A43" s="546"/>
      <c r="B43" s="546"/>
      <c r="C43" s="81" t="s">
        <v>79</v>
      </c>
      <c r="D43" s="81" t="s">
        <v>80</v>
      </c>
      <c r="E43" s="81" t="s">
        <v>81</v>
      </c>
      <c r="F43" s="81" t="s">
        <v>79</v>
      </c>
      <c r="G43" s="81" t="s">
        <v>80</v>
      </c>
      <c r="H43" s="81" t="s">
        <v>81</v>
      </c>
      <c r="I43" s="81" t="s">
        <v>79</v>
      </c>
      <c r="J43" s="81" t="s">
        <v>80</v>
      </c>
      <c r="K43" s="81" t="s">
        <v>81</v>
      </c>
    </row>
    <row r="44" spans="1:15" ht="71.25" customHeight="1" x14ac:dyDescent="0.25">
      <c r="A44" s="546"/>
      <c r="B44" s="546"/>
      <c r="C44" s="81" t="s">
        <v>60</v>
      </c>
      <c r="D44" s="81" t="s">
        <v>61</v>
      </c>
      <c r="E44" s="81" t="s">
        <v>62</v>
      </c>
      <c r="F44" s="81" t="s">
        <v>60</v>
      </c>
      <c r="G44" s="81">
        <v>14</v>
      </c>
      <c r="H44" s="81" t="s">
        <v>62</v>
      </c>
      <c r="I44" s="81" t="s">
        <v>60</v>
      </c>
      <c r="J44" s="81" t="s">
        <v>61</v>
      </c>
      <c r="K44" s="81" t="s">
        <v>62</v>
      </c>
    </row>
    <row r="45" spans="1:15" ht="15.75" x14ac:dyDescent="0.25">
      <c r="A45" s="81">
        <v>1</v>
      </c>
      <c r="B45" s="81">
        <v>2</v>
      </c>
      <c r="C45" s="81">
        <v>3</v>
      </c>
      <c r="D45" s="81">
        <v>4</v>
      </c>
      <c r="E45" s="81">
        <v>5</v>
      </c>
      <c r="F45" s="81">
        <v>6</v>
      </c>
      <c r="G45" s="81">
        <v>7</v>
      </c>
      <c r="H45" s="81">
        <v>8</v>
      </c>
      <c r="I45" s="81">
        <v>9</v>
      </c>
      <c r="J45" s="81">
        <v>10</v>
      </c>
      <c r="K45" s="81">
        <v>11</v>
      </c>
    </row>
    <row r="46" spans="1:15" ht="36.75" customHeight="1" x14ac:dyDescent="0.25">
      <c r="A46" s="109" t="s">
        <v>233</v>
      </c>
      <c r="B46" s="110"/>
      <c r="C46" s="111">
        <v>16</v>
      </c>
      <c r="D46" s="111">
        <v>16</v>
      </c>
      <c r="E46" s="111">
        <v>16</v>
      </c>
      <c r="F46" s="95">
        <v>5000</v>
      </c>
      <c r="G46" s="95">
        <v>5000</v>
      </c>
      <c r="H46" s="95">
        <v>5000</v>
      </c>
      <c r="I46" s="98">
        <v>80000</v>
      </c>
      <c r="J46" s="98">
        <f t="shared" ref="J46:K54" si="2">D46*G46</f>
        <v>80000</v>
      </c>
      <c r="K46" s="98">
        <f t="shared" si="2"/>
        <v>80000</v>
      </c>
    </row>
    <row r="47" spans="1:15" ht="36.75" customHeight="1" x14ac:dyDescent="0.25">
      <c r="A47" s="109" t="s">
        <v>244</v>
      </c>
      <c r="B47" s="112"/>
      <c r="C47" s="113">
        <v>1</v>
      </c>
      <c r="D47" s="113">
        <v>1</v>
      </c>
      <c r="E47" s="113">
        <v>1</v>
      </c>
      <c r="F47" s="97">
        <v>40000</v>
      </c>
      <c r="G47" s="97">
        <v>40000</v>
      </c>
      <c r="H47" s="97">
        <v>40000</v>
      </c>
      <c r="I47" s="98">
        <f t="shared" ref="I47:I54" si="3">C47*F47</f>
        <v>40000</v>
      </c>
      <c r="J47" s="98">
        <f t="shared" si="2"/>
        <v>40000</v>
      </c>
      <c r="K47" s="98">
        <f t="shared" si="2"/>
        <v>40000</v>
      </c>
    </row>
    <row r="48" spans="1:15" ht="38.25" customHeight="1" x14ac:dyDescent="0.25">
      <c r="A48" s="114" t="s">
        <v>245</v>
      </c>
      <c r="B48" s="96"/>
      <c r="C48" s="115">
        <v>1</v>
      </c>
      <c r="D48" s="115">
        <v>1</v>
      </c>
      <c r="E48" s="115">
        <v>1</v>
      </c>
      <c r="F48" s="97">
        <f>126949.48-12110</f>
        <v>114839.48</v>
      </c>
      <c r="G48" s="97">
        <v>145255.47</v>
      </c>
      <c r="H48" s="97">
        <v>145255.47</v>
      </c>
      <c r="I48" s="98">
        <f>F48</f>
        <v>114839.48</v>
      </c>
      <c r="J48" s="98">
        <f t="shared" si="2"/>
        <v>145255.47</v>
      </c>
      <c r="K48" s="98">
        <f t="shared" si="2"/>
        <v>145255.47</v>
      </c>
      <c r="O48" s="151"/>
    </row>
    <row r="49" spans="1:14" ht="42" customHeight="1" x14ac:dyDescent="0.25">
      <c r="A49" s="109" t="s">
        <v>246</v>
      </c>
      <c r="B49" s="110"/>
      <c r="C49" s="111">
        <v>1</v>
      </c>
      <c r="D49" s="111">
        <v>1</v>
      </c>
      <c r="E49" s="111">
        <v>1</v>
      </c>
      <c r="F49" s="95">
        <v>5000</v>
      </c>
      <c r="G49" s="95">
        <v>5000</v>
      </c>
      <c r="H49" s="95">
        <v>5000</v>
      </c>
      <c r="I49" s="98">
        <f t="shared" si="3"/>
        <v>5000</v>
      </c>
      <c r="J49" s="98">
        <f t="shared" si="2"/>
        <v>5000</v>
      </c>
      <c r="K49" s="98">
        <f t="shared" si="2"/>
        <v>5000</v>
      </c>
    </row>
    <row r="50" spans="1:14" ht="30" customHeight="1" x14ac:dyDescent="0.25">
      <c r="A50" s="118" t="s">
        <v>247</v>
      </c>
      <c r="B50" s="94"/>
      <c r="C50" s="94">
        <v>2</v>
      </c>
      <c r="D50" s="94">
        <v>2</v>
      </c>
      <c r="E50" s="94">
        <v>2</v>
      </c>
      <c r="F50" s="95">
        <v>500</v>
      </c>
      <c r="G50" s="95">
        <v>500</v>
      </c>
      <c r="H50" s="95">
        <v>500</v>
      </c>
      <c r="I50" s="98">
        <f t="shared" si="3"/>
        <v>1000</v>
      </c>
      <c r="J50" s="98">
        <f t="shared" si="2"/>
        <v>1000</v>
      </c>
      <c r="K50" s="98">
        <f t="shared" si="2"/>
        <v>1000</v>
      </c>
    </row>
    <row r="51" spans="1:14" ht="15.75" x14ac:dyDescent="0.25">
      <c r="A51" s="114" t="s">
        <v>248</v>
      </c>
      <c r="B51" s="119"/>
      <c r="C51" s="120">
        <v>5</v>
      </c>
      <c r="D51" s="120">
        <v>5</v>
      </c>
      <c r="E51" s="120">
        <v>5</v>
      </c>
      <c r="F51" s="121">
        <v>200</v>
      </c>
      <c r="G51" s="121">
        <v>200</v>
      </c>
      <c r="H51" s="121">
        <v>200</v>
      </c>
      <c r="I51" s="98">
        <f t="shared" si="3"/>
        <v>1000</v>
      </c>
      <c r="J51" s="98">
        <f t="shared" si="2"/>
        <v>1000</v>
      </c>
      <c r="K51" s="98">
        <f t="shared" si="2"/>
        <v>1000</v>
      </c>
    </row>
    <row r="52" spans="1:14" ht="22.5" customHeight="1" x14ac:dyDescent="0.25">
      <c r="A52" s="122" t="s">
        <v>249</v>
      </c>
      <c r="B52" s="94"/>
      <c r="C52" s="94">
        <v>1</v>
      </c>
      <c r="D52" s="94">
        <v>1</v>
      </c>
      <c r="E52" s="94">
        <v>1</v>
      </c>
      <c r="F52" s="95">
        <v>20000</v>
      </c>
      <c r="G52" s="95">
        <v>20000</v>
      </c>
      <c r="H52" s="95">
        <v>20000</v>
      </c>
      <c r="I52" s="98">
        <v>20000</v>
      </c>
      <c r="J52" s="98">
        <f t="shared" si="2"/>
        <v>20000</v>
      </c>
      <c r="K52" s="98">
        <f t="shared" si="2"/>
        <v>20000</v>
      </c>
    </row>
    <row r="53" spans="1:14" ht="45.75" customHeight="1" x14ac:dyDescent="0.25">
      <c r="A53" s="123" t="s">
        <v>250</v>
      </c>
      <c r="B53" s="81"/>
      <c r="C53" s="81">
        <v>1</v>
      </c>
      <c r="D53" s="330">
        <v>1</v>
      </c>
      <c r="E53" s="330">
        <v>1</v>
      </c>
      <c r="F53" s="93">
        <v>4262.3999999999996</v>
      </c>
      <c r="G53" s="93">
        <v>4262.3999999999996</v>
      </c>
      <c r="H53" s="93">
        <v>4262.3999999999996</v>
      </c>
      <c r="I53" s="124">
        <f t="shared" si="3"/>
        <v>4262.3999999999996</v>
      </c>
      <c r="J53" s="124">
        <f t="shared" si="2"/>
        <v>4262.3999999999996</v>
      </c>
      <c r="K53" s="124">
        <f t="shared" si="2"/>
        <v>4262.3999999999996</v>
      </c>
    </row>
    <row r="54" spans="1:14" ht="42" customHeight="1" x14ac:dyDescent="0.25">
      <c r="A54" s="125" t="s">
        <v>251</v>
      </c>
      <c r="B54" s="81"/>
      <c r="C54" s="81">
        <v>1</v>
      </c>
      <c r="D54" s="330">
        <v>1</v>
      </c>
      <c r="E54" s="330">
        <v>1</v>
      </c>
      <c r="F54" s="98">
        <f>256293.87+150000</f>
        <v>406293.87</v>
      </c>
      <c r="G54" s="98">
        <f>256293.87-60305.99</f>
        <v>195987.88</v>
      </c>
      <c r="H54" s="98">
        <f>256293.87-60305.99</f>
        <v>195987.88</v>
      </c>
      <c r="I54" s="124">
        <f t="shared" si="3"/>
        <v>406293.87</v>
      </c>
      <c r="J54" s="124">
        <f t="shared" si="2"/>
        <v>195987.88</v>
      </c>
      <c r="K54" s="124">
        <f t="shared" si="2"/>
        <v>195987.88</v>
      </c>
    </row>
    <row r="55" spans="1:14" ht="34.5" customHeight="1" x14ac:dyDescent="0.25">
      <c r="A55" s="125" t="s">
        <v>252</v>
      </c>
      <c r="B55" s="81"/>
      <c r="C55" s="81">
        <v>1</v>
      </c>
      <c r="D55" s="330">
        <v>1</v>
      </c>
      <c r="E55" s="330">
        <v>1</v>
      </c>
      <c r="F55" s="98">
        <v>6469.08</v>
      </c>
      <c r="G55" s="98">
        <v>6469.08</v>
      </c>
      <c r="H55" s="98">
        <v>6469.08</v>
      </c>
      <c r="I55" s="124">
        <f>F55</f>
        <v>6469.08</v>
      </c>
      <c r="J55" s="124">
        <f>I55</f>
        <v>6469.08</v>
      </c>
      <c r="K55" s="124">
        <f>J55</f>
        <v>6469.08</v>
      </c>
      <c r="N55" s="151"/>
    </row>
    <row r="56" spans="1:14" ht="34.5" customHeight="1" x14ac:dyDescent="0.25">
      <c r="A56" s="125" t="s">
        <v>579</v>
      </c>
      <c r="B56" s="378"/>
      <c r="C56" s="378">
        <v>1</v>
      </c>
      <c r="D56" s="378">
        <v>1</v>
      </c>
      <c r="E56" s="378">
        <v>1</v>
      </c>
      <c r="F56" s="98">
        <v>25400</v>
      </c>
      <c r="G56" s="98">
        <v>25400</v>
      </c>
      <c r="H56" s="98">
        <v>25400</v>
      </c>
      <c r="I56" s="124">
        <f>F56</f>
        <v>25400</v>
      </c>
      <c r="J56" s="124">
        <f t="shared" ref="J56:K58" si="4">G56</f>
        <v>25400</v>
      </c>
      <c r="K56" s="124">
        <f t="shared" si="4"/>
        <v>25400</v>
      </c>
      <c r="N56" s="151"/>
    </row>
    <row r="57" spans="1:14" ht="51" customHeight="1" x14ac:dyDescent="0.25">
      <c r="A57" s="125" t="s">
        <v>580</v>
      </c>
      <c r="B57" s="378"/>
      <c r="C57" s="378">
        <v>1</v>
      </c>
      <c r="D57" s="378">
        <v>1</v>
      </c>
      <c r="E57" s="378">
        <v>1</v>
      </c>
      <c r="F57" s="98">
        <v>19500</v>
      </c>
      <c r="G57" s="98">
        <v>19500</v>
      </c>
      <c r="H57" s="98">
        <v>19500</v>
      </c>
      <c r="I57" s="124">
        <f>F57</f>
        <v>19500</v>
      </c>
      <c r="J57" s="124">
        <f t="shared" si="4"/>
        <v>19500</v>
      </c>
      <c r="K57" s="124">
        <f t="shared" si="4"/>
        <v>19500</v>
      </c>
      <c r="N57" s="151"/>
    </row>
    <row r="58" spans="1:14" ht="33" customHeight="1" x14ac:dyDescent="0.25">
      <c r="A58" s="125" t="s">
        <v>581</v>
      </c>
      <c r="B58" s="378"/>
      <c r="C58" s="378">
        <v>1</v>
      </c>
      <c r="D58" s="378">
        <v>1</v>
      </c>
      <c r="E58" s="378">
        <v>1</v>
      </c>
      <c r="F58" s="98">
        <v>350760.66</v>
      </c>
      <c r="G58" s="98">
        <v>350760.66</v>
      </c>
      <c r="H58" s="98">
        <f>350760.66-77200</f>
        <v>273560.65999999997</v>
      </c>
      <c r="I58" s="124">
        <f>F58</f>
        <v>350760.66</v>
      </c>
      <c r="J58" s="124">
        <f t="shared" si="4"/>
        <v>350760.66</v>
      </c>
      <c r="K58" s="124">
        <f t="shared" si="4"/>
        <v>273560.65999999997</v>
      </c>
      <c r="N58" s="151"/>
    </row>
    <row r="59" spans="1:14" ht="27" customHeight="1" x14ac:dyDescent="0.25">
      <c r="A59" s="125" t="s">
        <v>582</v>
      </c>
      <c r="B59" s="378"/>
      <c r="C59" s="378"/>
      <c r="D59" s="378"/>
      <c r="E59" s="378"/>
      <c r="F59" s="98">
        <v>248641</v>
      </c>
      <c r="G59" s="98">
        <v>0</v>
      </c>
      <c r="H59" s="98">
        <v>0</v>
      </c>
      <c r="I59" s="124">
        <f>F59</f>
        <v>248641</v>
      </c>
      <c r="J59" s="124"/>
      <c r="K59" s="124"/>
      <c r="N59" s="151"/>
    </row>
    <row r="60" spans="1:14" ht="15.75" x14ac:dyDescent="0.25">
      <c r="A60" s="82" t="s">
        <v>135</v>
      </c>
      <c r="B60" s="81">
        <v>9000</v>
      </c>
      <c r="C60" s="81" t="s">
        <v>11</v>
      </c>
      <c r="D60" s="81" t="s">
        <v>11</v>
      </c>
      <c r="E60" s="81" t="s">
        <v>11</v>
      </c>
      <c r="F60" s="98" t="s">
        <v>11</v>
      </c>
      <c r="G60" s="98" t="s">
        <v>11</v>
      </c>
      <c r="H60" s="98" t="s">
        <v>11</v>
      </c>
      <c r="I60" s="98">
        <f>I46+I47+I48+I49+I50+I51+I52+I53+I54+I55+I56+I57+I58+I59</f>
        <v>1323166.49</v>
      </c>
      <c r="J60" s="98">
        <f t="shared" ref="J60:K60" si="5">J46+J47+J48+J49+J50+J51+J52+J53+J54+J55+J56+J57+J58</f>
        <v>894635.49</v>
      </c>
      <c r="K60" s="98">
        <f t="shared" si="5"/>
        <v>817435.49</v>
      </c>
    </row>
    <row r="61" spans="1:14" x14ac:dyDescent="0.25">
      <c r="H61" s="116"/>
      <c r="I61" s="117"/>
    </row>
    <row r="62" spans="1:14" x14ac:dyDescent="0.25">
      <c r="D62" s="507" t="s">
        <v>238</v>
      </c>
      <c r="E62" s="507"/>
      <c r="F62" s="507"/>
      <c r="G62" s="507"/>
      <c r="H62" s="507"/>
      <c r="I62" s="507"/>
    </row>
    <row r="63" spans="1:14" x14ac:dyDescent="0.25">
      <c r="J63" s="151"/>
    </row>
    <row r="64" spans="1:14" x14ac:dyDescent="0.25">
      <c r="E64" s="507" t="s">
        <v>239</v>
      </c>
      <c r="F64" s="507"/>
      <c r="G64" s="507"/>
      <c r="H64" s="507"/>
      <c r="I64" s="507"/>
    </row>
    <row r="68" spans="1:7" ht="18.75" x14ac:dyDescent="0.3">
      <c r="A68" s="233" t="s">
        <v>449</v>
      </c>
      <c r="B68" s="143"/>
      <c r="C68" s="143"/>
      <c r="D68" s="143"/>
      <c r="F68" s="245"/>
    </row>
    <row r="69" spans="1:7" ht="18.75" x14ac:dyDescent="0.3">
      <c r="B69" s="573" t="s">
        <v>442</v>
      </c>
      <c r="C69" s="573"/>
      <c r="D69" s="573"/>
      <c r="F69" s="245"/>
    </row>
    <row r="70" spans="1:7" ht="18.75" customHeight="1" x14ac:dyDescent="0.25">
      <c r="A70" s="507" t="s">
        <v>452</v>
      </c>
      <c r="B70" s="507"/>
      <c r="C70" s="507"/>
      <c r="D70" s="507"/>
      <c r="F70" s="245"/>
    </row>
    <row r="71" spans="1:7" x14ac:dyDescent="0.25">
      <c r="A71" s="570" t="s">
        <v>261</v>
      </c>
      <c r="B71" s="572" t="s">
        <v>153</v>
      </c>
      <c r="C71" s="572" t="s">
        <v>445</v>
      </c>
      <c r="D71" s="572" t="s">
        <v>447</v>
      </c>
      <c r="F71" s="245"/>
    </row>
    <row r="72" spans="1:7" ht="57.75" customHeight="1" x14ac:dyDescent="0.25">
      <c r="A72" s="571"/>
      <c r="B72" s="572"/>
      <c r="C72" s="572"/>
      <c r="D72" s="572"/>
      <c r="F72" s="245"/>
    </row>
    <row r="73" spans="1:7" x14ac:dyDescent="0.25">
      <c r="A73" s="304">
        <v>1</v>
      </c>
      <c r="B73" s="304">
        <v>2</v>
      </c>
      <c r="C73" s="304">
        <v>3</v>
      </c>
      <c r="D73" s="304">
        <v>4</v>
      </c>
      <c r="F73" s="245"/>
    </row>
    <row r="74" spans="1:7" ht="102" x14ac:dyDescent="0.25">
      <c r="A74" s="307">
        <v>1</v>
      </c>
      <c r="B74" s="241" t="s">
        <v>450</v>
      </c>
      <c r="C74" s="241">
        <v>1</v>
      </c>
      <c r="D74" s="305">
        <v>30000</v>
      </c>
      <c r="F74" s="245"/>
    </row>
    <row r="75" spans="1:7" ht="140.25" x14ac:dyDescent="0.25">
      <c r="A75" s="307">
        <v>2</v>
      </c>
      <c r="B75" s="241" t="s">
        <v>451</v>
      </c>
      <c r="C75" s="241">
        <v>2</v>
      </c>
      <c r="D75" s="305">
        <v>70000</v>
      </c>
      <c r="F75" s="245"/>
    </row>
    <row r="76" spans="1:7" x14ac:dyDescent="0.25">
      <c r="A76" s="569" t="s">
        <v>284</v>
      </c>
      <c r="B76" s="569"/>
      <c r="C76" s="241"/>
      <c r="D76" s="305">
        <f>SUM(D74:D75)</f>
        <v>100000</v>
      </c>
      <c r="F76" s="245"/>
    </row>
    <row r="77" spans="1:7" x14ac:dyDescent="0.25">
      <c r="A77" s="234"/>
      <c r="B77" s="245"/>
      <c r="C77" s="245"/>
      <c r="D77" s="245"/>
      <c r="E77" s="245"/>
      <c r="F77" s="245"/>
    </row>
    <row r="80" spans="1:7" ht="18.75" x14ac:dyDescent="0.3">
      <c r="A80" s="574" t="s">
        <v>453</v>
      </c>
      <c r="B80" s="574"/>
      <c r="C80" s="574"/>
      <c r="D80" s="574"/>
      <c r="E80" s="574"/>
      <c r="F80" s="574"/>
      <c r="G80" s="574"/>
    </row>
    <row r="82" spans="1:7" ht="18.75" x14ac:dyDescent="0.3">
      <c r="A82" s="143" t="s">
        <v>254</v>
      </c>
      <c r="B82" s="143"/>
      <c r="C82" s="573" t="s">
        <v>454</v>
      </c>
      <c r="D82" s="573"/>
      <c r="E82" s="573"/>
      <c r="F82" s="235"/>
      <c r="G82" s="144"/>
    </row>
    <row r="83" spans="1:7" ht="18.75" x14ac:dyDescent="0.3">
      <c r="A83" s="236" t="s">
        <v>272</v>
      </c>
      <c r="B83" s="143"/>
      <c r="C83" s="567" t="s">
        <v>383</v>
      </c>
      <c r="D83" s="567"/>
      <c r="E83" s="567"/>
      <c r="F83" s="567"/>
      <c r="G83" s="144"/>
    </row>
    <row r="84" spans="1:7" ht="18.75" x14ac:dyDescent="0.3">
      <c r="A84" s="568" t="s">
        <v>274</v>
      </c>
      <c r="B84" s="568"/>
      <c r="C84" s="567" t="s">
        <v>275</v>
      </c>
      <c r="D84" s="567"/>
      <c r="E84" s="237"/>
      <c r="F84" s="237"/>
      <c r="G84" s="104"/>
    </row>
    <row r="85" spans="1:7" x14ac:dyDescent="0.25">
      <c r="G85" s="104"/>
    </row>
    <row r="86" spans="1:7" x14ac:dyDescent="0.25">
      <c r="A86" s="507" t="s">
        <v>452</v>
      </c>
      <c r="B86" s="507"/>
      <c r="C86" s="507"/>
      <c r="D86" s="507"/>
    </row>
    <row r="87" spans="1:7" ht="18.75" x14ac:dyDescent="0.3">
      <c r="A87" s="233" t="s">
        <v>455</v>
      </c>
      <c r="B87" s="143"/>
      <c r="C87" s="143"/>
      <c r="D87" s="143"/>
    </row>
    <row r="89" spans="1:7" x14ac:dyDescent="0.25">
      <c r="A89" s="570" t="s">
        <v>261</v>
      </c>
      <c r="B89" s="572" t="s">
        <v>153</v>
      </c>
      <c r="C89" s="572" t="s">
        <v>445</v>
      </c>
      <c r="D89" s="572" t="s">
        <v>447</v>
      </c>
    </row>
    <row r="90" spans="1:7" ht="21.75" customHeight="1" x14ac:dyDescent="0.25">
      <c r="A90" s="571"/>
      <c r="B90" s="572"/>
      <c r="C90" s="572"/>
      <c r="D90" s="572"/>
    </row>
    <row r="91" spans="1:7" x14ac:dyDescent="0.25">
      <c r="A91" s="304">
        <v>1</v>
      </c>
      <c r="B91" s="304">
        <v>2</v>
      </c>
      <c r="C91" s="304">
        <v>3</v>
      </c>
      <c r="D91" s="304">
        <v>4</v>
      </c>
    </row>
    <row r="92" spans="1:7" ht="102" x14ac:dyDescent="0.25">
      <c r="A92" s="307">
        <v>1</v>
      </c>
      <c r="B92" s="241" t="s">
        <v>450</v>
      </c>
      <c r="C92" s="241">
        <v>1</v>
      </c>
      <c r="D92" s="305">
        <v>5000</v>
      </c>
    </row>
    <row r="93" spans="1:7" ht="89.25" x14ac:dyDescent="0.25">
      <c r="A93" s="307">
        <v>2</v>
      </c>
      <c r="B93" s="241" t="s">
        <v>456</v>
      </c>
      <c r="C93" s="241">
        <v>2</v>
      </c>
      <c r="D93" s="305">
        <v>10000</v>
      </c>
    </row>
    <row r="94" spans="1:7" x14ac:dyDescent="0.25">
      <c r="A94" s="569" t="s">
        <v>284</v>
      </c>
      <c r="B94" s="569"/>
      <c r="C94" s="241"/>
      <c r="D94" s="305">
        <f>SUM(D92:D93)</f>
        <v>15000</v>
      </c>
    </row>
    <row r="98" spans="1:4" ht="18.75" x14ac:dyDescent="0.3">
      <c r="A98" s="233" t="s">
        <v>457</v>
      </c>
      <c r="B98" s="143"/>
      <c r="C98" s="143"/>
      <c r="D98" s="143"/>
    </row>
    <row r="99" spans="1:4" ht="18.75" x14ac:dyDescent="0.3">
      <c r="B99" s="573" t="s">
        <v>458</v>
      </c>
      <c r="C99" s="573"/>
      <c r="D99" s="573"/>
    </row>
    <row r="100" spans="1:4" ht="18.75" customHeight="1" x14ac:dyDescent="0.25">
      <c r="A100" s="524" t="s">
        <v>452</v>
      </c>
      <c r="B100" s="524"/>
      <c r="C100" s="524"/>
      <c r="D100" s="524"/>
    </row>
    <row r="101" spans="1:4" x14ac:dyDescent="0.25">
      <c r="A101" s="570" t="s">
        <v>261</v>
      </c>
      <c r="B101" s="572" t="s">
        <v>153</v>
      </c>
      <c r="C101" s="572" t="s">
        <v>445</v>
      </c>
      <c r="D101" s="572" t="s">
        <v>447</v>
      </c>
    </row>
    <row r="102" spans="1:4" x14ac:dyDescent="0.25">
      <c r="A102" s="571"/>
      <c r="B102" s="572"/>
      <c r="C102" s="572"/>
      <c r="D102" s="572"/>
    </row>
    <row r="103" spans="1:4" x14ac:dyDescent="0.25">
      <c r="A103" s="304">
        <v>1</v>
      </c>
      <c r="B103" s="304">
        <v>2</v>
      </c>
      <c r="C103" s="304">
        <v>3</v>
      </c>
      <c r="D103" s="304">
        <v>4</v>
      </c>
    </row>
    <row r="104" spans="1:4" ht="54" customHeight="1" x14ac:dyDescent="0.25">
      <c r="A104" s="307">
        <v>1</v>
      </c>
      <c r="B104" s="241" t="s">
        <v>450</v>
      </c>
      <c r="C104" s="241">
        <v>1</v>
      </c>
      <c r="D104" s="305">
        <f>4500*8</f>
        <v>36000</v>
      </c>
    </row>
    <row r="105" spans="1:4" ht="54" customHeight="1" x14ac:dyDescent="0.25">
      <c r="A105" s="307">
        <v>2</v>
      </c>
      <c r="B105" s="241" t="s">
        <v>456</v>
      </c>
      <c r="C105" s="241">
        <v>2</v>
      </c>
      <c r="D105" s="305">
        <f>39000+22000</f>
        <v>61000</v>
      </c>
    </row>
    <row r="106" spans="1:4" ht="51" customHeight="1" x14ac:dyDescent="0.25">
      <c r="A106" s="307">
        <v>3</v>
      </c>
      <c r="B106" s="241" t="s">
        <v>459</v>
      </c>
      <c r="C106" s="241">
        <v>1</v>
      </c>
      <c r="D106" s="305">
        <v>40000</v>
      </c>
    </row>
    <row r="107" spans="1:4" ht="140.25" x14ac:dyDescent="0.25">
      <c r="A107" s="307">
        <v>4</v>
      </c>
      <c r="B107" s="241" t="s">
        <v>451</v>
      </c>
      <c r="C107" s="241">
        <v>2</v>
      </c>
      <c r="D107" s="305">
        <f>15000*C107</f>
        <v>30000</v>
      </c>
    </row>
    <row r="108" spans="1:4" ht="114.75" x14ac:dyDescent="0.25">
      <c r="A108" s="307">
        <v>5</v>
      </c>
      <c r="B108" s="241" t="s">
        <v>460</v>
      </c>
      <c r="C108" s="241">
        <v>4</v>
      </c>
      <c r="D108" s="305">
        <f>500*60</f>
        <v>30000</v>
      </c>
    </row>
    <row r="109" spans="1:4" x14ac:dyDescent="0.25">
      <c r="A109" s="569" t="s">
        <v>284</v>
      </c>
      <c r="B109" s="569"/>
      <c r="C109" s="241"/>
      <c r="D109" s="305">
        <f>SUM(D104:D108)</f>
        <v>197000</v>
      </c>
    </row>
  </sheetData>
  <mergeCells count="55">
    <mergeCell ref="A1:K1"/>
    <mergeCell ref="E2:H2"/>
    <mergeCell ref="A3:A5"/>
    <mergeCell ref="B3:B5"/>
    <mergeCell ref="C3:E3"/>
    <mergeCell ref="F3:H3"/>
    <mergeCell ref="I3:K3"/>
    <mergeCell ref="A24:A26"/>
    <mergeCell ref="B24:B26"/>
    <mergeCell ref="C24:E24"/>
    <mergeCell ref="F24:H24"/>
    <mergeCell ref="I24:K24"/>
    <mergeCell ref="E15:J15"/>
    <mergeCell ref="F17:J17"/>
    <mergeCell ref="H21:K21"/>
    <mergeCell ref="A22:K22"/>
    <mergeCell ref="E23:H23"/>
    <mergeCell ref="D62:I62"/>
    <mergeCell ref="E34:J34"/>
    <mergeCell ref="F36:J36"/>
    <mergeCell ref="E37:I37"/>
    <mergeCell ref="H39:K39"/>
    <mergeCell ref="A40:K40"/>
    <mergeCell ref="E41:H41"/>
    <mergeCell ref="A42:A44"/>
    <mergeCell ref="B42:B44"/>
    <mergeCell ref="C42:E42"/>
    <mergeCell ref="F42:H42"/>
    <mergeCell ref="I42:K42"/>
    <mergeCell ref="E64:I64"/>
    <mergeCell ref="B69:D69"/>
    <mergeCell ref="A71:A72"/>
    <mergeCell ref="B71:B72"/>
    <mergeCell ref="C71:C72"/>
    <mergeCell ref="D71:D72"/>
    <mergeCell ref="A86:D86"/>
    <mergeCell ref="A76:B76"/>
    <mergeCell ref="A70:D70"/>
    <mergeCell ref="A80:G80"/>
    <mergeCell ref="C82:E82"/>
    <mergeCell ref="C83:F83"/>
    <mergeCell ref="A84:B84"/>
    <mergeCell ref="C84:D84"/>
    <mergeCell ref="A109:B109"/>
    <mergeCell ref="A100:D100"/>
    <mergeCell ref="A89:A90"/>
    <mergeCell ref="B89:B90"/>
    <mergeCell ref="C89:C90"/>
    <mergeCell ref="D89:D90"/>
    <mergeCell ref="A94:B94"/>
    <mergeCell ref="B99:D99"/>
    <mergeCell ref="A101:A102"/>
    <mergeCell ref="B101:B102"/>
    <mergeCell ref="C101:C102"/>
    <mergeCell ref="D101:D102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1" manualBreakCount="1">
    <brk id="6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opLeftCell="A10" workbookViewId="0">
      <selection activeCell="H29" sqref="H29"/>
    </sheetView>
  </sheetViews>
  <sheetFormatPr defaultRowHeight="15" x14ac:dyDescent="0.25"/>
  <cols>
    <col min="6" max="6" width="19.140625" customWidth="1"/>
    <col min="9" max="9" width="13.5703125" customWidth="1"/>
    <col min="10" max="10" width="18.28515625" customWidth="1"/>
  </cols>
  <sheetData>
    <row r="2" spans="1:13" x14ac:dyDescent="0.25">
      <c r="A2" s="126"/>
      <c r="B2" s="126"/>
      <c r="C2" s="126"/>
      <c r="D2" s="126"/>
      <c r="E2" s="582" t="s">
        <v>253</v>
      </c>
      <c r="F2" s="582"/>
      <c r="G2" s="582"/>
      <c r="H2" s="582"/>
      <c r="I2" s="582"/>
      <c r="J2" s="582"/>
      <c r="K2" s="582"/>
      <c r="L2" s="582"/>
      <c r="M2" s="582"/>
    </row>
    <row r="3" spans="1:13" x14ac:dyDescent="0.25">
      <c r="A3" s="126" t="s">
        <v>254</v>
      </c>
      <c r="B3" s="126"/>
      <c r="C3" s="126"/>
      <c r="D3" s="126"/>
      <c r="E3" s="127"/>
      <c r="F3" s="127"/>
      <c r="G3" s="583" t="s">
        <v>255</v>
      </c>
      <c r="H3" s="583"/>
      <c r="I3" s="583"/>
      <c r="J3" s="583"/>
      <c r="K3" s="128"/>
      <c r="L3" s="128"/>
      <c r="M3" s="126"/>
    </row>
    <row r="4" spans="1:13" x14ac:dyDescent="0.25">
      <c r="A4" s="126" t="s">
        <v>256</v>
      </c>
      <c r="B4" s="126"/>
      <c r="C4" s="126"/>
      <c r="D4" s="126"/>
      <c r="E4" s="126"/>
      <c r="F4" s="126"/>
      <c r="G4" s="584" t="s">
        <v>257</v>
      </c>
      <c r="H4" s="584"/>
      <c r="I4" s="584"/>
      <c r="J4" s="584"/>
      <c r="K4" s="128"/>
      <c r="L4" s="128"/>
      <c r="M4" s="126"/>
    </row>
    <row r="5" spans="1:13" x14ac:dyDescent="0.25">
      <c r="A5" s="585" t="s">
        <v>258</v>
      </c>
      <c r="B5" s="585"/>
      <c r="C5" s="585"/>
      <c r="D5" s="585"/>
      <c r="E5" s="585"/>
      <c r="F5" s="585"/>
      <c r="G5" s="129" t="s">
        <v>259</v>
      </c>
      <c r="H5" s="129"/>
      <c r="I5" s="129"/>
      <c r="J5" s="129"/>
      <c r="K5" s="128"/>
      <c r="L5" s="128"/>
      <c r="M5" s="126"/>
    </row>
    <row r="6" spans="1:13" x14ac:dyDescent="0.25">
      <c r="A6" s="126"/>
      <c r="B6" s="126"/>
      <c r="C6" s="126"/>
      <c r="D6" s="126"/>
      <c r="E6" s="126" t="s">
        <v>260</v>
      </c>
      <c r="F6" s="126"/>
      <c r="G6" s="126"/>
      <c r="H6" s="126"/>
      <c r="I6" s="126"/>
      <c r="J6" s="126"/>
      <c r="K6" s="126"/>
      <c r="L6" s="126"/>
      <c r="M6" s="126"/>
    </row>
    <row r="7" spans="1:13" ht="40.5" x14ac:dyDescent="0.25">
      <c r="A7" s="130" t="s">
        <v>261</v>
      </c>
      <c r="B7" s="586" t="s">
        <v>153</v>
      </c>
      <c r="C7" s="586"/>
      <c r="D7" s="586"/>
      <c r="E7" s="586"/>
      <c r="F7" s="586"/>
      <c r="G7" s="586"/>
      <c r="H7" s="130" t="s">
        <v>262</v>
      </c>
      <c r="I7" s="131" t="s">
        <v>263</v>
      </c>
      <c r="J7" s="130" t="s">
        <v>264</v>
      </c>
      <c r="K7" s="132"/>
      <c r="L7" s="132"/>
      <c r="M7" s="132"/>
    </row>
    <row r="8" spans="1:13" x14ac:dyDescent="0.25">
      <c r="A8" s="133">
        <v>1</v>
      </c>
      <c r="B8" s="587">
        <v>2</v>
      </c>
      <c r="C8" s="588"/>
      <c r="D8" s="588"/>
      <c r="E8" s="588"/>
      <c r="F8" s="588"/>
      <c r="G8" s="589"/>
      <c r="H8" s="133">
        <v>3</v>
      </c>
      <c r="I8" s="133">
        <v>4</v>
      </c>
      <c r="J8" s="133">
        <v>5</v>
      </c>
      <c r="K8" s="127"/>
      <c r="L8" s="127"/>
      <c r="M8" s="127"/>
    </row>
    <row r="9" spans="1:13" x14ac:dyDescent="0.25">
      <c r="A9" s="133"/>
      <c r="B9" s="587" t="s">
        <v>265</v>
      </c>
      <c r="C9" s="588"/>
      <c r="D9" s="588"/>
      <c r="E9" s="588"/>
      <c r="F9" s="588"/>
      <c r="G9" s="589"/>
      <c r="H9" s="133">
        <v>2</v>
      </c>
      <c r="I9" s="134">
        <v>1000</v>
      </c>
      <c r="J9" s="134">
        <f>H9*I9</f>
        <v>2000</v>
      </c>
      <c r="K9" s="135"/>
      <c r="L9" s="135"/>
      <c r="M9" s="135"/>
    </row>
    <row r="10" spans="1:13" x14ac:dyDescent="0.25">
      <c r="A10" s="126"/>
      <c r="B10" s="585"/>
      <c r="C10" s="585"/>
      <c r="D10" s="585"/>
      <c r="E10" s="585"/>
      <c r="F10" s="585"/>
      <c r="G10" s="585"/>
      <c r="H10" s="126"/>
      <c r="I10" s="136" t="s">
        <v>266</v>
      </c>
      <c r="J10" s="137">
        <f>J9</f>
        <v>2000</v>
      </c>
      <c r="K10" s="138"/>
      <c r="L10" s="138"/>
      <c r="M10" s="139"/>
    </row>
    <row r="11" spans="1:13" x14ac:dyDescent="0.25">
      <c r="A11" s="126"/>
      <c r="B11" s="126"/>
      <c r="C11" s="126"/>
      <c r="D11" s="126"/>
      <c r="E11" s="126"/>
      <c r="F11" s="126"/>
      <c r="G11" s="126"/>
      <c r="H11" s="126"/>
      <c r="I11" s="140"/>
      <c r="J11" s="138"/>
      <c r="K11" s="138"/>
      <c r="L11" s="138"/>
      <c r="M11" s="139"/>
    </row>
    <row r="13" spans="1:13" x14ac:dyDescent="0.25">
      <c r="C13" s="507" t="s">
        <v>267</v>
      </c>
      <c r="D13" s="507"/>
      <c r="E13" s="507"/>
      <c r="F13" s="507"/>
      <c r="G13" s="507"/>
      <c r="H13" s="507"/>
      <c r="I13" s="507"/>
      <c r="J13" s="507"/>
    </row>
    <row r="15" spans="1:13" x14ac:dyDescent="0.25">
      <c r="D15" s="507" t="s">
        <v>268</v>
      </c>
      <c r="E15" s="507"/>
      <c r="F15" s="507"/>
      <c r="G15" s="507"/>
      <c r="H15" s="507"/>
      <c r="I15" s="507"/>
      <c r="J15" s="507"/>
    </row>
    <row r="20" spans="1:7" ht="18.75" x14ac:dyDescent="0.3">
      <c r="A20" s="574" t="s">
        <v>269</v>
      </c>
      <c r="B20" s="574"/>
      <c r="C20" s="574"/>
      <c r="D20" s="574"/>
      <c r="E20" s="574"/>
      <c r="F20" s="574"/>
      <c r="G20" s="574"/>
    </row>
    <row r="22" spans="1:7" ht="18.75" x14ac:dyDescent="0.3">
      <c r="A22" s="141" t="s">
        <v>270</v>
      </c>
      <c r="C22" s="581" t="s">
        <v>271</v>
      </c>
      <c r="D22" s="581"/>
      <c r="E22" s="581"/>
      <c r="F22" s="142"/>
      <c r="G22" s="104"/>
    </row>
    <row r="23" spans="1:7" ht="18.75" x14ac:dyDescent="0.3">
      <c r="A23" s="143" t="s">
        <v>272</v>
      </c>
      <c r="B23" s="143"/>
      <c r="C23" s="577" t="s">
        <v>273</v>
      </c>
      <c r="D23" s="577"/>
      <c r="E23" s="577"/>
      <c r="F23" s="577"/>
      <c r="G23" s="144"/>
    </row>
    <row r="24" spans="1:7" ht="18.75" x14ac:dyDescent="0.3">
      <c r="A24" s="141" t="s">
        <v>274</v>
      </c>
      <c r="B24" s="141"/>
      <c r="C24" s="578" t="s">
        <v>275</v>
      </c>
      <c r="D24" s="578"/>
      <c r="E24" s="578"/>
      <c r="F24" s="578"/>
      <c r="G24" s="104"/>
    </row>
    <row r="25" spans="1:7" x14ac:dyDescent="0.25">
      <c r="B25" s="524" t="s">
        <v>276</v>
      </c>
      <c r="C25" s="524"/>
      <c r="D25" s="524"/>
      <c r="E25" s="524"/>
      <c r="F25" s="524"/>
    </row>
    <row r="26" spans="1:7" x14ac:dyDescent="0.25">
      <c r="A26" s="579" t="s">
        <v>277</v>
      </c>
      <c r="B26" s="434" t="s">
        <v>278</v>
      </c>
      <c r="C26" s="434" t="s">
        <v>279</v>
      </c>
      <c r="D26" s="579" t="s">
        <v>280</v>
      </c>
      <c r="E26" s="434" t="s">
        <v>281</v>
      </c>
      <c r="F26" s="434" t="s">
        <v>282</v>
      </c>
    </row>
    <row r="27" spans="1:7" x14ac:dyDescent="0.25">
      <c r="A27" s="580"/>
      <c r="B27" s="434"/>
      <c r="C27" s="434"/>
      <c r="D27" s="580"/>
      <c r="E27" s="434"/>
      <c r="F27" s="434"/>
    </row>
    <row r="28" spans="1:7" x14ac:dyDescent="0.25">
      <c r="A28" s="59">
        <v>1</v>
      </c>
      <c r="B28" s="59">
        <v>2</v>
      </c>
      <c r="C28" s="59">
        <v>3</v>
      </c>
      <c r="D28" s="59"/>
      <c r="E28" s="59">
        <v>4</v>
      </c>
      <c r="F28" s="59">
        <v>5</v>
      </c>
    </row>
    <row r="29" spans="1:7" ht="90" x14ac:dyDescent="0.25">
      <c r="A29" s="145">
        <v>1</v>
      </c>
      <c r="B29" s="145" t="s">
        <v>283</v>
      </c>
      <c r="C29" s="146">
        <v>600.80999999999995</v>
      </c>
      <c r="D29" s="146">
        <v>14</v>
      </c>
      <c r="E29" s="59">
        <v>12</v>
      </c>
      <c r="F29" s="146">
        <f>C29*D29*E29-936.08</f>
        <v>100000</v>
      </c>
    </row>
    <row r="30" spans="1:7" x14ac:dyDescent="0.25">
      <c r="A30" s="576" t="s">
        <v>284</v>
      </c>
      <c r="B30" s="576"/>
      <c r="C30" s="145"/>
      <c r="D30" s="145"/>
      <c r="E30" s="145"/>
      <c r="F30" s="146">
        <f>F29</f>
        <v>100000</v>
      </c>
    </row>
  </sheetData>
  <mergeCells count="22">
    <mergeCell ref="C22:E22"/>
    <mergeCell ref="E2:M2"/>
    <mergeCell ref="G3:J3"/>
    <mergeCell ref="G4:J4"/>
    <mergeCell ref="A5:F5"/>
    <mergeCell ref="B7:G7"/>
    <mergeCell ref="B8:G8"/>
    <mergeCell ref="B9:G9"/>
    <mergeCell ref="B10:G10"/>
    <mergeCell ref="C13:J13"/>
    <mergeCell ref="D15:J15"/>
    <mergeCell ref="A20:G20"/>
    <mergeCell ref="A30:B30"/>
    <mergeCell ref="C23:F23"/>
    <mergeCell ref="C24:F24"/>
    <mergeCell ref="B25:F25"/>
    <mergeCell ref="A26:A27"/>
    <mergeCell ref="B26:B27"/>
    <mergeCell ref="C26:C27"/>
    <mergeCell ref="D26:D27"/>
    <mergeCell ref="E26:E27"/>
    <mergeCell ref="F26:F2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9"/>
  <sheetViews>
    <sheetView workbookViewId="0">
      <selection activeCell="I10" sqref="I10"/>
    </sheetView>
  </sheetViews>
  <sheetFormatPr defaultRowHeight="15" x14ac:dyDescent="0.25"/>
  <cols>
    <col min="2" max="2" width="17.28515625" customWidth="1"/>
    <col min="5" max="5" width="18.140625" customWidth="1"/>
    <col min="12" max="12" width="13.140625" customWidth="1"/>
    <col min="13" max="13" width="13.42578125" customWidth="1"/>
    <col min="14" max="14" width="12" customWidth="1"/>
  </cols>
  <sheetData>
    <row r="3" spans="1:10" ht="36.75" customHeight="1" x14ac:dyDescent="0.25">
      <c r="A3" s="596" t="s">
        <v>301</v>
      </c>
      <c r="B3" s="596"/>
      <c r="C3" s="596"/>
      <c r="D3" s="596"/>
      <c r="E3" s="596"/>
      <c r="F3" s="596"/>
      <c r="G3" s="596"/>
      <c r="H3" s="596"/>
      <c r="I3" s="596"/>
    </row>
    <row r="4" spans="1:10" x14ac:dyDescent="0.25">
      <c r="A4" s="597" t="s">
        <v>310</v>
      </c>
      <c r="B4" s="597"/>
      <c r="C4" s="597"/>
      <c r="D4" s="597"/>
      <c r="E4" s="597"/>
      <c r="F4" s="598"/>
      <c r="G4" s="598"/>
      <c r="H4" s="598"/>
      <c r="I4" s="598"/>
    </row>
    <row r="5" spans="1:10" x14ac:dyDescent="0.25">
      <c r="A5" s="600" t="s">
        <v>311</v>
      </c>
      <c r="B5" s="601"/>
      <c r="C5" s="601"/>
      <c r="D5" s="601"/>
      <c r="E5" s="602"/>
      <c r="F5" s="176"/>
      <c r="G5" s="176"/>
      <c r="H5" s="176"/>
      <c r="I5" s="176"/>
    </row>
    <row r="6" spans="1:10" ht="30.75" customHeight="1" x14ac:dyDescent="0.25">
      <c r="A6" s="153" t="s">
        <v>302</v>
      </c>
      <c r="B6" s="153" t="s">
        <v>303</v>
      </c>
      <c r="C6" s="154" t="s">
        <v>304</v>
      </c>
      <c r="D6" s="155" t="s">
        <v>305</v>
      </c>
      <c r="E6" s="156" t="s">
        <v>306</v>
      </c>
      <c r="F6" s="599"/>
      <c r="G6" s="599"/>
      <c r="H6" s="599"/>
      <c r="I6" s="599"/>
    </row>
    <row r="7" spans="1:10" ht="114" customHeight="1" x14ac:dyDescent="0.25">
      <c r="A7" s="157">
        <v>1</v>
      </c>
      <c r="B7" s="158" t="s">
        <v>307</v>
      </c>
      <c r="C7" s="159">
        <v>3</v>
      </c>
      <c r="D7" s="160">
        <v>8000</v>
      </c>
      <c r="E7" s="161">
        <f t="shared" ref="E7" si="0">C7*D7</f>
        <v>24000</v>
      </c>
      <c r="F7" s="172"/>
      <c r="G7" s="173"/>
      <c r="H7" s="174"/>
      <c r="I7" s="174"/>
    </row>
    <row r="8" spans="1:10" ht="147.75" customHeight="1" x14ac:dyDescent="0.25">
      <c r="A8" s="157">
        <v>2</v>
      </c>
      <c r="B8" s="162" t="s">
        <v>308</v>
      </c>
      <c r="C8" s="163">
        <v>2</v>
      </c>
      <c r="D8" s="164">
        <v>18000</v>
      </c>
      <c r="E8" s="161">
        <f>C8*D8</f>
        <v>36000</v>
      </c>
      <c r="F8" s="175"/>
      <c r="G8" s="173"/>
      <c r="H8" s="174"/>
      <c r="I8" s="174"/>
    </row>
    <row r="9" spans="1:10" x14ac:dyDescent="0.25">
      <c r="A9" s="157"/>
      <c r="B9" s="165"/>
      <c r="C9" s="166"/>
      <c r="D9" s="167" t="s">
        <v>309</v>
      </c>
      <c r="E9" s="171">
        <f>SUM(E2:E8)</f>
        <v>60000</v>
      </c>
      <c r="F9" s="175"/>
      <c r="G9" s="173"/>
      <c r="H9" s="174"/>
      <c r="I9" s="174"/>
    </row>
    <row r="14" spans="1:10" x14ac:dyDescent="0.25">
      <c r="A14" s="590" t="s">
        <v>301</v>
      </c>
      <c r="B14" s="590"/>
      <c r="C14" s="590"/>
      <c r="D14" s="590"/>
      <c r="E14" s="590"/>
      <c r="F14" s="590"/>
      <c r="G14" s="590"/>
      <c r="H14" s="590"/>
      <c r="I14" s="590"/>
      <c r="J14" s="591"/>
    </row>
    <row r="15" spans="1:10" x14ac:dyDescent="0.25">
      <c r="A15" s="603" t="s">
        <v>426</v>
      </c>
      <c r="B15" s="603"/>
      <c r="C15" s="603"/>
      <c r="D15" s="603"/>
      <c r="E15" s="603"/>
      <c r="F15" s="604"/>
      <c r="G15" s="604"/>
      <c r="H15" s="604"/>
      <c r="I15" s="604"/>
    </row>
    <row r="16" spans="1:10" x14ac:dyDescent="0.25">
      <c r="A16" s="275" t="s">
        <v>302</v>
      </c>
      <c r="B16" s="275" t="s">
        <v>303</v>
      </c>
      <c r="C16" s="276" t="s">
        <v>304</v>
      </c>
      <c r="D16" s="156" t="s">
        <v>305</v>
      </c>
      <c r="E16" s="261" t="s">
        <v>306</v>
      </c>
      <c r="F16" s="280"/>
      <c r="G16" s="281"/>
      <c r="H16" s="282"/>
      <c r="I16" s="282"/>
    </row>
    <row r="17" spans="1:11" ht="30" x14ac:dyDescent="0.25">
      <c r="A17" s="277">
        <v>1</v>
      </c>
      <c r="B17" s="183" t="s">
        <v>427</v>
      </c>
      <c r="C17" s="163">
        <v>1</v>
      </c>
      <c r="D17" s="164">
        <v>10000</v>
      </c>
      <c r="E17" s="278">
        <f>C17*D17</f>
        <v>10000</v>
      </c>
      <c r="F17" s="283"/>
      <c r="G17" s="284"/>
      <c r="H17" s="285"/>
      <c r="I17" s="285"/>
    </row>
    <row r="18" spans="1:11" x14ac:dyDescent="0.25">
      <c r="A18" s="607" t="s">
        <v>428</v>
      </c>
      <c r="B18" s="608"/>
      <c r="C18" s="608"/>
      <c r="D18" s="609"/>
      <c r="E18" s="279">
        <f>SUM(E17)</f>
        <v>10000</v>
      </c>
      <c r="F18" s="286"/>
      <c r="G18" s="287"/>
      <c r="H18" s="288"/>
      <c r="I18" s="288"/>
    </row>
    <row r="25" spans="1:11" x14ac:dyDescent="0.25">
      <c r="A25" s="596" t="s">
        <v>301</v>
      </c>
      <c r="B25" s="596"/>
      <c r="C25" s="596"/>
      <c r="D25" s="596"/>
      <c r="E25" s="596"/>
      <c r="F25" s="596"/>
      <c r="G25" s="596"/>
      <c r="H25" s="596"/>
      <c r="I25" s="596"/>
      <c r="J25" s="596"/>
      <c r="K25" s="596"/>
    </row>
    <row r="26" spans="1:11" x14ac:dyDescent="0.25">
      <c r="A26" s="592" t="s">
        <v>436</v>
      </c>
      <c r="B26" s="593"/>
      <c r="C26" s="593"/>
      <c r="D26" s="593"/>
      <c r="E26" s="594"/>
      <c r="F26" s="594"/>
      <c r="G26" s="594"/>
      <c r="H26" s="594"/>
      <c r="I26" s="595"/>
    </row>
    <row r="27" spans="1:11" x14ac:dyDescent="0.25">
      <c r="A27" s="153" t="s">
        <v>302</v>
      </c>
      <c r="B27" s="153" t="s">
        <v>303</v>
      </c>
      <c r="C27" s="154" t="s">
        <v>304</v>
      </c>
      <c r="D27" s="169" t="s">
        <v>305</v>
      </c>
      <c r="E27" s="261" t="s">
        <v>306</v>
      </c>
      <c r="F27" s="291"/>
      <c r="G27" s="292"/>
      <c r="H27" s="293"/>
      <c r="I27" s="293"/>
    </row>
    <row r="28" spans="1:11" ht="60" x14ac:dyDescent="0.25">
      <c r="A28" s="290">
        <v>1</v>
      </c>
      <c r="B28" s="162" t="s">
        <v>434</v>
      </c>
      <c r="C28" s="157">
        <v>1</v>
      </c>
      <c r="D28" s="170">
        <v>10000</v>
      </c>
      <c r="E28" s="161">
        <f t="shared" ref="E28" si="1">C28*D28</f>
        <v>10000</v>
      </c>
      <c r="F28" s="214"/>
      <c r="G28" s="294"/>
      <c r="H28" s="295"/>
      <c r="I28" s="295" t="s">
        <v>435</v>
      </c>
    </row>
    <row r="29" spans="1:11" x14ac:dyDescent="0.25">
      <c r="A29" s="195"/>
      <c r="B29" s="251"/>
      <c r="C29" s="188"/>
      <c r="D29" s="218" t="s">
        <v>309</v>
      </c>
      <c r="E29" s="198">
        <f>SUM(E28)</f>
        <v>10000</v>
      </c>
      <c r="F29" s="296"/>
      <c r="G29" s="297"/>
      <c r="H29" s="296"/>
      <c r="I29" s="296"/>
    </row>
    <row r="32" spans="1:11" s="383" customFormat="1" ht="23.65" customHeight="1" x14ac:dyDescent="0.25">
      <c r="A32" s="592" t="s">
        <v>565</v>
      </c>
      <c r="B32" s="593"/>
      <c r="C32" s="593"/>
      <c r="D32" s="593"/>
      <c r="E32" s="593"/>
      <c r="F32" s="593"/>
      <c r="G32" s="593"/>
      <c r="H32" s="593"/>
      <c r="I32" s="605"/>
    </row>
    <row r="33" spans="1:9" s="386" customFormat="1" ht="14.25" x14ac:dyDescent="0.2">
      <c r="A33" s="153" t="s">
        <v>302</v>
      </c>
      <c r="B33" s="153" t="s">
        <v>303</v>
      </c>
      <c r="C33" s="154" t="s">
        <v>304</v>
      </c>
      <c r="D33" s="156" t="s">
        <v>305</v>
      </c>
      <c r="E33" s="384" t="s">
        <v>306</v>
      </c>
      <c r="F33" s="384"/>
      <c r="G33" s="384"/>
      <c r="H33" s="385"/>
      <c r="I33" s="385"/>
    </row>
    <row r="34" spans="1:9" s="383" customFormat="1" ht="30.75" customHeight="1" x14ac:dyDescent="0.25">
      <c r="A34" s="387">
        <v>1</v>
      </c>
      <c r="B34" s="249" t="s">
        <v>566</v>
      </c>
      <c r="C34" s="388">
        <v>2</v>
      </c>
      <c r="D34" s="389">
        <v>14000</v>
      </c>
      <c r="E34" s="389">
        <f t="shared" ref="E34:E35" si="2">C34*D34</f>
        <v>28000</v>
      </c>
      <c r="F34" s="390"/>
      <c r="G34" s="391"/>
      <c r="H34" s="392"/>
      <c r="I34" s="392"/>
    </row>
    <row r="35" spans="1:9" s="383" customFormat="1" ht="31.5" customHeight="1" x14ac:dyDescent="0.25">
      <c r="A35" s="388">
        <v>2</v>
      </c>
      <c r="B35" s="249" t="s">
        <v>567</v>
      </c>
      <c r="C35" s="388">
        <v>1</v>
      </c>
      <c r="D35" s="389">
        <v>16035.17</v>
      </c>
      <c r="E35" s="389">
        <f t="shared" si="2"/>
        <v>16035.17</v>
      </c>
      <c r="F35" s="393"/>
      <c r="G35" s="394"/>
      <c r="H35" s="395"/>
      <c r="I35" s="392"/>
    </row>
    <row r="36" spans="1:9" s="397" customFormat="1" ht="27" customHeight="1" x14ac:dyDescent="0.2">
      <c r="A36" s="398"/>
      <c r="B36" s="398"/>
      <c r="C36" s="399"/>
      <c r="D36" s="400" t="s">
        <v>309</v>
      </c>
      <c r="E36" s="396">
        <f>SUM(E34:E35)</f>
        <v>44035.17</v>
      </c>
      <c r="F36" s="401"/>
      <c r="G36" s="402"/>
      <c r="H36" s="403"/>
      <c r="I36" s="403"/>
    </row>
    <row r="37" spans="1:9" s="383" customFormat="1" ht="31.15" customHeight="1" x14ac:dyDescent="0.25">
      <c r="A37" s="606"/>
      <c r="B37" s="606"/>
      <c r="C37" s="606"/>
      <c r="D37" s="606"/>
      <c r="E37" s="606"/>
      <c r="F37" s="606"/>
      <c r="G37" s="606"/>
      <c r="H37" s="606"/>
      <c r="I37" s="606"/>
    </row>
    <row r="38" spans="1:9" x14ac:dyDescent="0.25">
      <c r="B38" t="s">
        <v>568</v>
      </c>
      <c r="F38" s="507" t="s">
        <v>569</v>
      </c>
      <c r="G38" s="507"/>
      <c r="H38" s="507"/>
    </row>
    <row r="39" spans="1:9" x14ac:dyDescent="0.25">
      <c r="B39" t="s">
        <v>570</v>
      </c>
      <c r="F39" s="507" t="s">
        <v>571</v>
      </c>
      <c r="G39" s="507"/>
      <c r="H39" s="507"/>
    </row>
  </sheetData>
  <mergeCells count="13">
    <mergeCell ref="A32:I32"/>
    <mergeCell ref="A37:I37"/>
    <mergeCell ref="F38:H38"/>
    <mergeCell ref="F39:H39"/>
    <mergeCell ref="A18:D18"/>
    <mergeCell ref="A14:J14"/>
    <mergeCell ref="A26:I26"/>
    <mergeCell ref="A25:K25"/>
    <mergeCell ref="A3:I3"/>
    <mergeCell ref="A4:I4"/>
    <mergeCell ref="F6:I6"/>
    <mergeCell ref="A5:E5"/>
    <mergeCell ref="A15:I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K23" sqref="K23"/>
    </sheetView>
  </sheetViews>
  <sheetFormatPr defaultRowHeight="15" x14ac:dyDescent="0.25"/>
  <cols>
    <col min="12" max="12" width="17.28515625" customWidth="1"/>
    <col min="13" max="13" width="17.85546875" customWidth="1"/>
    <col min="14" max="14" width="16" customWidth="1"/>
  </cols>
  <sheetData>
    <row r="1" spans="1:14" ht="15.75" x14ac:dyDescent="0.25">
      <c r="A1" s="552" t="s">
        <v>285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4" x14ac:dyDescent="0.25">
      <c r="F2" s="551" t="s">
        <v>286</v>
      </c>
      <c r="G2" s="551"/>
      <c r="H2" s="551"/>
      <c r="I2" s="551"/>
      <c r="J2" s="551"/>
      <c r="K2" s="551"/>
      <c r="L2" s="551"/>
    </row>
    <row r="3" spans="1:14" ht="15.75" x14ac:dyDescent="0.25">
      <c r="A3" s="546" t="s">
        <v>153</v>
      </c>
      <c r="B3" s="546" t="s">
        <v>1</v>
      </c>
      <c r="C3" s="546" t="s">
        <v>287</v>
      </c>
      <c r="D3" s="546"/>
      <c r="E3" s="546"/>
      <c r="F3" s="546" t="s">
        <v>288</v>
      </c>
      <c r="G3" s="546"/>
      <c r="H3" s="546"/>
      <c r="I3" s="546" t="s">
        <v>289</v>
      </c>
      <c r="J3" s="546"/>
      <c r="K3" s="546"/>
      <c r="L3" s="546" t="s">
        <v>157</v>
      </c>
      <c r="M3" s="546"/>
      <c r="N3" s="546"/>
    </row>
    <row r="4" spans="1:14" ht="31.5" x14ac:dyDescent="0.25">
      <c r="A4" s="546"/>
      <c r="B4" s="546"/>
      <c r="C4" s="81" t="s">
        <v>79</v>
      </c>
      <c r="D4" s="81" t="s">
        <v>80</v>
      </c>
      <c r="E4" s="81" t="s">
        <v>81</v>
      </c>
      <c r="F4" s="81" t="s">
        <v>79</v>
      </c>
      <c r="G4" s="81" t="s">
        <v>80</v>
      </c>
      <c r="H4" s="81" t="s">
        <v>81</v>
      </c>
      <c r="I4" s="81" t="s">
        <v>79</v>
      </c>
      <c r="J4" s="81" t="s">
        <v>80</v>
      </c>
      <c r="K4" s="81" t="s">
        <v>81</v>
      </c>
      <c r="L4" s="81" t="s">
        <v>79</v>
      </c>
      <c r="M4" s="81" t="s">
        <v>80</v>
      </c>
      <c r="N4" s="81" t="s">
        <v>81</v>
      </c>
    </row>
    <row r="5" spans="1:14" ht="75" x14ac:dyDescent="0.25">
      <c r="A5" s="546"/>
      <c r="B5" s="546"/>
      <c r="C5" s="59" t="s">
        <v>60</v>
      </c>
      <c r="D5" s="59" t="s">
        <v>61</v>
      </c>
      <c r="E5" s="59" t="s">
        <v>62</v>
      </c>
      <c r="F5" s="59" t="s">
        <v>60</v>
      </c>
      <c r="G5" s="59" t="s">
        <v>61</v>
      </c>
      <c r="H5" s="59" t="s">
        <v>62</v>
      </c>
      <c r="I5" s="59" t="s">
        <v>60</v>
      </c>
      <c r="J5" s="59" t="s">
        <v>61</v>
      </c>
      <c r="K5" s="59" t="s">
        <v>62</v>
      </c>
      <c r="L5" s="59" t="s">
        <v>60</v>
      </c>
      <c r="M5" s="59" t="s">
        <v>61</v>
      </c>
      <c r="N5" s="81" t="s">
        <v>62</v>
      </c>
    </row>
    <row r="6" spans="1:14" ht="15.75" x14ac:dyDescent="0.25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  <c r="K6" s="81">
        <v>11</v>
      </c>
      <c r="L6" s="81">
        <v>12</v>
      </c>
      <c r="M6" s="81">
        <v>13</v>
      </c>
      <c r="N6" s="81">
        <v>14</v>
      </c>
    </row>
    <row r="7" spans="1:14" ht="94.5" x14ac:dyDescent="0.25">
      <c r="A7" s="82" t="s">
        <v>290</v>
      </c>
      <c r="B7" s="81"/>
      <c r="C7" s="82">
        <v>2</v>
      </c>
      <c r="D7" s="82"/>
      <c r="E7" s="82"/>
      <c r="F7" s="82">
        <v>12</v>
      </c>
      <c r="G7" s="82"/>
      <c r="H7" s="82"/>
      <c r="I7" s="83">
        <v>75</v>
      </c>
      <c r="J7" s="83"/>
      <c r="K7" s="83"/>
      <c r="L7" s="83">
        <f>C7*F7*I7</f>
        <v>1800</v>
      </c>
      <c r="M7" s="83">
        <f t="shared" ref="M7:N7" si="0">D7*G7*J7</f>
        <v>0</v>
      </c>
      <c r="N7" s="83">
        <f t="shared" si="0"/>
        <v>0</v>
      </c>
    </row>
    <row r="8" spans="1:14" ht="15.75" x14ac:dyDescent="0.25">
      <c r="A8" s="82" t="s">
        <v>135</v>
      </c>
      <c r="B8" s="81">
        <v>9000</v>
      </c>
      <c r="C8" s="81" t="s">
        <v>11</v>
      </c>
      <c r="D8" s="81" t="s">
        <v>11</v>
      </c>
      <c r="E8" s="81" t="s">
        <v>11</v>
      </c>
      <c r="F8" s="81" t="s">
        <v>11</v>
      </c>
      <c r="G8" s="81" t="s">
        <v>11</v>
      </c>
      <c r="H8" s="81" t="s">
        <v>11</v>
      </c>
      <c r="I8" s="81" t="s">
        <v>11</v>
      </c>
      <c r="J8" s="81" t="s">
        <v>11</v>
      </c>
      <c r="K8" s="81" t="s">
        <v>11</v>
      </c>
      <c r="L8" s="83">
        <f>L7</f>
        <v>1800</v>
      </c>
      <c r="M8" s="83">
        <f t="shared" ref="M8:N8" si="1">M7</f>
        <v>0</v>
      </c>
      <c r="N8" s="83">
        <f t="shared" si="1"/>
        <v>0</v>
      </c>
    </row>
    <row r="10" spans="1:14" x14ac:dyDescent="0.25">
      <c r="B10" s="80" t="s">
        <v>291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x14ac:dyDescent="0.25">
      <c r="B11" s="80" t="s">
        <v>292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</sheetData>
  <mergeCells count="8">
    <mergeCell ref="A1:N1"/>
    <mergeCell ref="F2:L2"/>
    <mergeCell ref="A3:A5"/>
    <mergeCell ref="B3:B5"/>
    <mergeCell ref="C3:E3"/>
    <mergeCell ref="F3:H3"/>
    <mergeCell ref="I3:K3"/>
    <mergeCell ref="L3:N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opLeftCell="A121" workbookViewId="0">
      <selection activeCell="J121" sqref="J121"/>
    </sheetView>
  </sheetViews>
  <sheetFormatPr defaultRowHeight="15" x14ac:dyDescent="0.25"/>
  <cols>
    <col min="2" max="2" width="23.140625" customWidth="1"/>
    <col min="5" max="5" width="12.42578125" customWidth="1"/>
    <col min="6" max="6" width="12.85546875" customWidth="1"/>
  </cols>
  <sheetData>
    <row r="1" spans="1:10" x14ac:dyDescent="0.25">
      <c r="A1" s="632" t="s">
        <v>312</v>
      </c>
      <c r="B1" s="632"/>
      <c r="C1" s="632"/>
      <c r="D1" s="632"/>
      <c r="E1" s="632"/>
      <c r="F1" s="632"/>
      <c r="G1" s="632"/>
      <c r="H1" s="632"/>
      <c r="I1" s="632"/>
      <c r="J1" s="632"/>
    </row>
    <row r="2" spans="1:10" x14ac:dyDescent="0.25">
      <c r="A2" s="633" t="s">
        <v>313</v>
      </c>
      <c r="B2" s="633"/>
      <c r="C2" s="633"/>
      <c r="D2" s="633"/>
      <c r="E2" s="633"/>
      <c r="F2" s="633"/>
      <c r="G2" s="634"/>
      <c r="H2" s="634"/>
      <c r="I2" s="634"/>
      <c r="J2" s="634"/>
    </row>
    <row r="3" spans="1:10" x14ac:dyDescent="0.25">
      <c r="A3" s="179" t="s">
        <v>302</v>
      </c>
      <c r="B3" s="179" t="s">
        <v>303</v>
      </c>
      <c r="C3" s="180" t="s">
        <v>314</v>
      </c>
      <c r="D3" s="180" t="s">
        <v>304</v>
      </c>
      <c r="E3" s="181" t="s">
        <v>315</v>
      </c>
      <c r="F3" s="217" t="s">
        <v>306</v>
      </c>
      <c r="G3" s="635"/>
      <c r="H3" s="635"/>
      <c r="I3" s="635"/>
      <c r="J3" s="635"/>
    </row>
    <row r="4" spans="1:10" x14ac:dyDescent="0.25">
      <c r="A4" s="636" t="s">
        <v>316</v>
      </c>
      <c r="B4" s="637"/>
      <c r="C4" s="637"/>
      <c r="D4" s="637"/>
      <c r="E4" s="637"/>
      <c r="F4" s="637"/>
      <c r="G4" s="638"/>
      <c r="H4" s="638"/>
      <c r="I4" s="638"/>
      <c r="J4" s="639"/>
    </row>
    <row r="5" spans="1:10" ht="49.5" customHeight="1" x14ac:dyDescent="0.25">
      <c r="A5" s="163">
        <v>1</v>
      </c>
      <c r="B5" s="162" t="s">
        <v>317</v>
      </c>
      <c r="C5" s="163" t="s">
        <v>318</v>
      </c>
      <c r="D5" s="163">
        <v>50</v>
      </c>
      <c r="E5" s="164">
        <v>30</v>
      </c>
      <c r="F5" s="164">
        <f>E5*D5</f>
        <v>1500</v>
      </c>
      <c r="G5" s="202"/>
      <c r="H5" s="203"/>
      <c r="I5" s="204"/>
      <c r="J5" s="204"/>
    </row>
    <row r="6" spans="1:10" ht="54" customHeight="1" x14ac:dyDescent="0.25">
      <c r="A6" s="163">
        <f t="shared" ref="A6" si="0">A5+1</f>
        <v>2</v>
      </c>
      <c r="B6" s="162" t="s">
        <v>319</v>
      </c>
      <c r="C6" s="163" t="s">
        <v>318</v>
      </c>
      <c r="D6" s="163">
        <v>80</v>
      </c>
      <c r="E6" s="164">
        <v>25</v>
      </c>
      <c r="F6" s="164">
        <f t="shared" ref="F6:F28" si="1">E6*D6</f>
        <v>2000</v>
      </c>
      <c r="G6" s="202"/>
      <c r="H6" s="203"/>
      <c r="I6" s="204"/>
      <c r="J6" s="204"/>
    </row>
    <row r="7" spans="1:10" ht="61.5" customHeight="1" x14ac:dyDescent="0.25">
      <c r="A7" s="163">
        <v>3</v>
      </c>
      <c r="B7" s="183" t="s">
        <v>320</v>
      </c>
      <c r="C7" s="163" t="s">
        <v>321</v>
      </c>
      <c r="D7" s="163">
        <v>30</v>
      </c>
      <c r="E7" s="164">
        <v>70</v>
      </c>
      <c r="F7" s="164">
        <f t="shared" si="1"/>
        <v>2100</v>
      </c>
      <c r="G7" s="205"/>
      <c r="H7" s="203"/>
      <c r="I7" s="204"/>
      <c r="J7" s="204"/>
    </row>
    <row r="8" spans="1:10" ht="68.25" customHeight="1" x14ac:dyDescent="0.25">
      <c r="A8" s="163">
        <v>4</v>
      </c>
      <c r="B8" s="162" t="s">
        <v>322</v>
      </c>
      <c r="C8" s="163" t="s">
        <v>318</v>
      </c>
      <c r="D8" s="163">
        <v>10</v>
      </c>
      <c r="E8" s="164">
        <v>700</v>
      </c>
      <c r="F8" s="164">
        <f t="shared" si="1"/>
        <v>7000</v>
      </c>
      <c r="G8" s="206"/>
      <c r="H8" s="203"/>
      <c r="I8" s="204"/>
      <c r="J8" s="204"/>
    </row>
    <row r="9" spans="1:10" ht="69" customHeight="1" x14ac:dyDescent="0.25">
      <c r="A9" s="163">
        <v>5</v>
      </c>
      <c r="B9" s="162" t="s">
        <v>323</v>
      </c>
      <c r="C9" s="163" t="s">
        <v>324</v>
      </c>
      <c r="D9" s="163">
        <v>16</v>
      </c>
      <c r="E9" s="164">
        <v>1900</v>
      </c>
      <c r="F9" s="164">
        <f t="shared" si="1"/>
        <v>30400</v>
      </c>
      <c r="G9" s="206"/>
      <c r="H9" s="203"/>
      <c r="I9" s="204"/>
      <c r="J9" s="204"/>
    </row>
    <row r="10" spans="1:10" ht="55.5" customHeight="1" x14ac:dyDescent="0.25">
      <c r="A10" s="163">
        <v>6</v>
      </c>
      <c r="B10" s="162" t="s">
        <v>325</v>
      </c>
      <c r="C10" s="163" t="s">
        <v>318</v>
      </c>
      <c r="D10" s="163">
        <v>20</v>
      </c>
      <c r="E10" s="164">
        <v>55</v>
      </c>
      <c r="F10" s="164">
        <f t="shared" si="1"/>
        <v>1100</v>
      </c>
      <c r="G10" s="202"/>
      <c r="H10" s="203"/>
      <c r="I10" s="204"/>
      <c r="J10" s="204"/>
    </row>
    <row r="11" spans="1:10" ht="42" customHeight="1" x14ac:dyDescent="0.25">
      <c r="A11" s="163">
        <v>7</v>
      </c>
      <c r="B11" s="162" t="s">
        <v>326</v>
      </c>
      <c r="C11" s="163" t="s">
        <v>318</v>
      </c>
      <c r="D11" s="163">
        <v>10</v>
      </c>
      <c r="E11" s="164">
        <v>55</v>
      </c>
      <c r="F11" s="164">
        <f t="shared" si="1"/>
        <v>550</v>
      </c>
      <c r="G11" s="202"/>
      <c r="H11" s="203"/>
      <c r="I11" s="204"/>
      <c r="J11" s="204"/>
    </row>
    <row r="12" spans="1:10" x14ac:dyDescent="0.25">
      <c r="A12" s="163">
        <v>8</v>
      </c>
      <c r="B12" s="183" t="s">
        <v>327</v>
      </c>
      <c r="C12" s="163" t="s">
        <v>318</v>
      </c>
      <c r="D12" s="163">
        <v>4</v>
      </c>
      <c r="E12" s="164">
        <v>1000</v>
      </c>
      <c r="F12" s="164">
        <f t="shared" si="1"/>
        <v>4000</v>
      </c>
      <c r="G12" s="202"/>
      <c r="H12" s="175"/>
      <c r="I12" s="204"/>
      <c r="J12" s="204"/>
    </row>
    <row r="13" spans="1:10" ht="63" customHeight="1" x14ac:dyDescent="0.25">
      <c r="A13" s="163">
        <v>9</v>
      </c>
      <c r="B13" s="162" t="s">
        <v>328</v>
      </c>
      <c r="C13" s="163" t="s">
        <v>329</v>
      </c>
      <c r="D13" s="163">
        <v>40</v>
      </c>
      <c r="E13" s="164">
        <v>35</v>
      </c>
      <c r="F13" s="164">
        <f t="shared" si="1"/>
        <v>1400</v>
      </c>
      <c r="G13" s="202"/>
      <c r="H13" s="175"/>
      <c r="I13" s="204"/>
      <c r="J13" s="204"/>
    </row>
    <row r="14" spans="1:10" ht="30" x14ac:dyDescent="0.25">
      <c r="A14" s="163">
        <v>10</v>
      </c>
      <c r="B14" s="162" t="s">
        <v>330</v>
      </c>
      <c r="C14" s="163" t="s">
        <v>318</v>
      </c>
      <c r="D14" s="163">
        <v>1</v>
      </c>
      <c r="E14" s="164">
        <v>2955</v>
      </c>
      <c r="F14" s="164">
        <f t="shared" si="1"/>
        <v>2955</v>
      </c>
      <c r="G14" s="202"/>
      <c r="H14" s="175"/>
      <c r="I14" s="204"/>
      <c r="J14" s="204"/>
    </row>
    <row r="15" spans="1:10" x14ac:dyDescent="0.25">
      <c r="A15" s="163">
        <v>11</v>
      </c>
      <c r="B15" s="162" t="s">
        <v>331</v>
      </c>
      <c r="C15" s="163" t="s">
        <v>318</v>
      </c>
      <c r="D15" s="163">
        <v>80</v>
      </c>
      <c r="E15" s="164">
        <v>20</v>
      </c>
      <c r="F15" s="164">
        <f t="shared" si="1"/>
        <v>1600</v>
      </c>
      <c r="G15" s="202"/>
      <c r="H15" s="175"/>
      <c r="I15" s="204"/>
      <c r="J15" s="204"/>
    </row>
    <row r="16" spans="1:10" ht="83.25" customHeight="1" x14ac:dyDescent="0.25">
      <c r="A16" s="163">
        <v>12</v>
      </c>
      <c r="B16" s="162" t="s">
        <v>332</v>
      </c>
      <c r="C16" s="163" t="s">
        <v>333</v>
      </c>
      <c r="D16" s="163">
        <v>5</v>
      </c>
      <c r="E16" s="164">
        <v>800</v>
      </c>
      <c r="F16" s="164">
        <f t="shared" si="1"/>
        <v>4000</v>
      </c>
      <c r="G16" s="202"/>
      <c r="H16" s="175"/>
      <c r="I16" s="204"/>
      <c r="J16" s="204"/>
    </row>
    <row r="17" spans="1:11" ht="63.75" customHeight="1" x14ac:dyDescent="0.25">
      <c r="A17" s="163">
        <v>13</v>
      </c>
      <c r="B17" s="162" t="s">
        <v>334</v>
      </c>
      <c r="C17" s="163" t="s">
        <v>318</v>
      </c>
      <c r="D17" s="163">
        <v>20</v>
      </c>
      <c r="E17" s="164">
        <v>150</v>
      </c>
      <c r="F17" s="164">
        <f t="shared" si="1"/>
        <v>3000</v>
      </c>
      <c r="G17" s="207"/>
      <c r="H17" s="175"/>
      <c r="I17" s="204"/>
      <c r="J17" s="204"/>
    </row>
    <row r="18" spans="1:11" x14ac:dyDescent="0.25">
      <c r="A18" s="163">
        <v>14</v>
      </c>
      <c r="B18" s="162" t="s">
        <v>335</v>
      </c>
      <c r="C18" s="163" t="s">
        <v>318</v>
      </c>
      <c r="D18" s="163">
        <v>40</v>
      </c>
      <c r="E18" s="164">
        <v>195</v>
      </c>
      <c r="F18" s="164">
        <f t="shared" si="1"/>
        <v>7800</v>
      </c>
      <c r="G18" s="202"/>
      <c r="H18" s="175"/>
      <c r="I18" s="204"/>
      <c r="J18" s="204"/>
    </row>
    <row r="19" spans="1:11" ht="73.5" customHeight="1" x14ac:dyDescent="0.25">
      <c r="A19" s="163">
        <v>15</v>
      </c>
      <c r="B19" s="184" t="s">
        <v>336</v>
      </c>
      <c r="C19" s="163" t="s">
        <v>337</v>
      </c>
      <c r="D19" s="163">
        <v>20</v>
      </c>
      <c r="E19" s="164">
        <v>60</v>
      </c>
      <c r="F19" s="164">
        <f t="shared" si="1"/>
        <v>1200</v>
      </c>
      <c r="G19" s="208"/>
      <c r="H19" s="209"/>
      <c r="I19" s="210"/>
      <c r="J19" s="204"/>
    </row>
    <row r="20" spans="1:11" x14ac:dyDescent="0.25">
      <c r="A20" s="163">
        <v>16</v>
      </c>
      <c r="B20" s="162" t="s">
        <v>338</v>
      </c>
      <c r="C20" s="163" t="s">
        <v>318</v>
      </c>
      <c r="D20" s="163">
        <v>3</v>
      </c>
      <c r="E20" s="164">
        <v>160</v>
      </c>
      <c r="F20" s="164">
        <f t="shared" si="1"/>
        <v>480</v>
      </c>
      <c r="G20" s="202"/>
      <c r="H20" s="209"/>
      <c r="I20" s="210"/>
      <c r="J20" s="204"/>
    </row>
    <row r="21" spans="1:11" ht="30" x14ac:dyDescent="0.25">
      <c r="A21" s="163">
        <v>17</v>
      </c>
      <c r="B21" s="184" t="s">
        <v>339</v>
      </c>
      <c r="C21" s="185" t="s">
        <v>318</v>
      </c>
      <c r="D21" s="185">
        <v>10</v>
      </c>
      <c r="E21" s="164">
        <v>350</v>
      </c>
      <c r="F21" s="164">
        <f t="shared" si="1"/>
        <v>3500</v>
      </c>
      <c r="G21" s="202"/>
      <c r="H21" s="175"/>
      <c r="I21" s="204"/>
      <c r="J21" s="204"/>
    </row>
    <row r="22" spans="1:11" ht="81" customHeight="1" x14ac:dyDescent="0.25">
      <c r="A22" s="163">
        <v>18</v>
      </c>
      <c r="B22" s="186" t="s">
        <v>340</v>
      </c>
      <c r="C22" s="185" t="s">
        <v>318</v>
      </c>
      <c r="D22" s="185">
        <v>30</v>
      </c>
      <c r="E22" s="164">
        <v>250</v>
      </c>
      <c r="F22" s="164">
        <f t="shared" si="1"/>
        <v>7500</v>
      </c>
      <c r="G22" s="211"/>
      <c r="H22" s="212"/>
      <c r="I22" s="213"/>
      <c r="J22" s="204"/>
    </row>
    <row r="23" spans="1:11" ht="79.5" customHeight="1" x14ac:dyDescent="0.25">
      <c r="A23" s="163">
        <v>19</v>
      </c>
      <c r="B23" s="162" t="s">
        <v>341</v>
      </c>
      <c r="C23" s="163" t="s">
        <v>333</v>
      </c>
      <c r="D23" s="163">
        <v>3</v>
      </c>
      <c r="E23" s="164">
        <v>500</v>
      </c>
      <c r="F23" s="164">
        <f t="shared" si="1"/>
        <v>1500</v>
      </c>
      <c r="G23" s="202"/>
      <c r="H23" s="175"/>
      <c r="I23" s="204"/>
      <c r="J23" s="204"/>
    </row>
    <row r="24" spans="1:11" ht="30" x14ac:dyDescent="0.25">
      <c r="A24" s="163">
        <v>20</v>
      </c>
      <c r="B24" s="162" t="s">
        <v>342</v>
      </c>
      <c r="C24" s="163" t="s">
        <v>324</v>
      </c>
      <c r="D24" s="163">
        <v>2</v>
      </c>
      <c r="E24" s="164">
        <v>1845</v>
      </c>
      <c r="F24" s="164">
        <f t="shared" si="1"/>
        <v>3690</v>
      </c>
      <c r="G24" s="202"/>
      <c r="H24" s="175"/>
      <c r="I24" s="204"/>
      <c r="J24" s="204"/>
    </row>
    <row r="25" spans="1:11" ht="45" x14ac:dyDescent="0.25">
      <c r="A25" s="163">
        <v>21</v>
      </c>
      <c r="B25" s="162" t="s">
        <v>343</v>
      </c>
      <c r="C25" s="163" t="s">
        <v>318</v>
      </c>
      <c r="D25" s="163">
        <v>2</v>
      </c>
      <c r="E25" s="164">
        <v>2000</v>
      </c>
      <c r="F25" s="164">
        <f t="shared" si="1"/>
        <v>4000</v>
      </c>
      <c r="G25" s="205"/>
      <c r="H25" s="175"/>
      <c r="I25" s="174"/>
      <c r="J25" s="204"/>
    </row>
    <row r="26" spans="1:11" ht="30" x14ac:dyDescent="0.25">
      <c r="A26" s="163">
        <v>22</v>
      </c>
      <c r="B26" s="162" t="s">
        <v>344</v>
      </c>
      <c r="C26" s="163" t="s">
        <v>345</v>
      </c>
      <c r="D26" s="163">
        <v>50</v>
      </c>
      <c r="E26" s="164">
        <v>60</v>
      </c>
      <c r="F26" s="164">
        <f t="shared" si="1"/>
        <v>3000</v>
      </c>
      <c r="G26" s="205"/>
      <c r="H26" s="175"/>
      <c r="I26" s="174"/>
      <c r="J26" s="204"/>
    </row>
    <row r="27" spans="1:11" ht="30" x14ac:dyDescent="0.25">
      <c r="A27" s="163">
        <v>23</v>
      </c>
      <c r="B27" s="183" t="s">
        <v>346</v>
      </c>
      <c r="C27" s="163" t="s">
        <v>347</v>
      </c>
      <c r="D27" s="163">
        <v>10</v>
      </c>
      <c r="E27" s="164">
        <v>150</v>
      </c>
      <c r="F27" s="164">
        <f t="shared" si="1"/>
        <v>1500</v>
      </c>
      <c r="G27" s="205"/>
      <c r="H27" s="175"/>
      <c r="I27" s="174"/>
      <c r="J27" s="204"/>
    </row>
    <row r="28" spans="1:11" ht="30" x14ac:dyDescent="0.25">
      <c r="A28" s="163">
        <v>25</v>
      </c>
      <c r="B28" s="165" t="s">
        <v>348</v>
      </c>
      <c r="C28" s="166" t="s">
        <v>324</v>
      </c>
      <c r="D28" s="166">
        <v>10</v>
      </c>
      <c r="E28" s="167">
        <v>1000</v>
      </c>
      <c r="F28" s="164">
        <f t="shared" si="1"/>
        <v>10000</v>
      </c>
      <c r="G28" s="214"/>
      <c r="H28" s="215"/>
      <c r="I28" s="216"/>
      <c r="J28" s="216"/>
    </row>
    <row r="29" spans="1:11" x14ac:dyDescent="0.25">
      <c r="A29" s="640" t="s">
        <v>309</v>
      </c>
      <c r="B29" s="641"/>
      <c r="C29" s="641"/>
      <c r="D29" s="641"/>
      <c r="E29" s="642"/>
      <c r="F29" s="221">
        <f>SUM(F5:F28)</f>
        <v>105775</v>
      </c>
      <c r="G29" s="628"/>
      <c r="H29" s="628"/>
      <c r="I29" s="628"/>
      <c r="J29" s="628"/>
    </row>
    <row r="30" spans="1:11" x14ac:dyDescent="0.25">
      <c r="A30" s="629" t="s">
        <v>349</v>
      </c>
      <c r="B30" s="630"/>
      <c r="C30" s="630"/>
      <c r="D30" s="630"/>
      <c r="E30" s="630"/>
      <c r="F30" s="630"/>
      <c r="G30" s="631"/>
      <c r="H30" s="631"/>
      <c r="I30" s="631"/>
      <c r="J30" s="631"/>
      <c r="K30" s="104"/>
    </row>
    <row r="31" spans="1:11" x14ac:dyDescent="0.25">
      <c r="A31" s="163">
        <v>1</v>
      </c>
      <c r="B31" s="187" t="s">
        <v>350</v>
      </c>
      <c r="C31" s="163" t="s">
        <v>318</v>
      </c>
      <c r="D31" s="163">
        <v>10</v>
      </c>
      <c r="E31" s="164">
        <v>130</v>
      </c>
      <c r="F31" s="164">
        <f>E31*D31</f>
        <v>1300</v>
      </c>
      <c r="G31" s="206"/>
      <c r="H31" s="206"/>
      <c r="I31" s="204"/>
      <c r="J31" s="204"/>
      <c r="K31" s="104"/>
    </row>
    <row r="32" spans="1:11" x14ac:dyDescent="0.25">
      <c r="A32" s="163">
        <v>2</v>
      </c>
      <c r="B32" s="187" t="s">
        <v>351</v>
      </c>
      <c r="C32" s="163" t="s">
        <v>324</v>
      </c>
      <c r="D32" s="163">
        <v>10</v>
      </c>
      <c r="E32" s="164">
        <v>120</v>
      </c>
      <c r="F32" s="164">
        <f t="shared" ref="F32:F34" si="2">E32*D32</f>
        <v>1200</v>
      </c>
      <c r="G32" s="206"/>
      <c r="H32" s="206"/>
      <c r="I32" s="204"/>
      <c r="J32" s="204"/>
      <c r="K32" s="104"/>
    </row>
    <row r="33" spans="1:11" ht="30" x14ac:dyDescent="0.25">
      <c r="A33" s="157">
        <v>3</v>
      </c>
      <c r="B33" s="187" t="s">
        <v>352</v>
      </c>
      <c r="C33" s="157" t="s">
        <v>347</v>
      </c>
      <c r="D33" s="157">
        <v>10</v>
      </c>
      <c r="E33" s="161">
        <v>200</v>
      </c>
      <c r="F33" s="164">
        <f t="shared" si="2"/>
        <v>2000</v>
      </c>
      <c r="G33" s="206"/>
      <c r="H33" s="206"/>
      <c r="I33" s="204"/>
      <c r="J33" s="204"/>
      <c r="K33" s="104"/>
    </row>
    <row r="34" spans="1:11" x14ac:dyDescent="0.25">
      <c r="A34" s="157">
        <v>4</v>
      </c>
      <c r="B34" s="187" t="s">
        <v>353</v>
      </c>
      <c r="C34" s="157" t="s">
        <v>318</v>
      </c>
      <c r="D34" s="157">
        <v>20</v>
      </c>
      <c r="E34" s="161">
        <v>150</v>
      </c>
      <c r="F34" s="164">
        <f t="shared" si="2"/>
        <v>3000</v>
      </c>
      <c r="G34" s="206"/>
      <c r="H34" s="206"/>
      <c r="I34" s="204"/>
      <c r="J34" s="204"/>
      <c r="K34" s="104"/>
    </row>
    <row r="35" spans="1:11" ht="28.5" x14ac:dyDescent="0.25">
      <c r="A35" s="188"/>
      <c r="B35" s="189" t="s">
        <v>354</v>
      </c>
      <c r="C35" s="190"/>
      <c r="D35" s="190"/>
      <c r="E35" s="191"/>
      <c r="F35" s="192">
        <f>SUM(F31:F34)</f>
        <v>7500</v>
      </c>
      <c r="G35" s="219"/>
      <c r="H35" s="219"/>
      <c r="I35" s="220"/>
      <c r="J35" s="220"/>
      <c r="K35" s="104"/>
    </row>
    <row r="36" spans="1:11" x14ac:dyDescent="0.25">
      <c r="A36" s="623" t="s">
        <v>355</v>
      </c>
      <c r="B36" s="624"/>
      <c r="C36" s="624"/>
      <c r="D36" s="624"/>
      <c r="E36" s="624"/>
      <c r="F36" s="624"/>
      <c r="G36" s="625"/>
      <c r="H36" s="625"/>
      <c r="I36" s="625"/>
      <c r="J36" s="625"/>
      <c r="K36" s="104"/>
    </row>
    <row r="37" spans="1:11" ht="157.5" customHeight="1" x14ac:dyDescent="0.25">
      <c r="A37" s="163">
        <v>1</v>
      </c>
      <c r="B37" s="162" t="s">
        <v>356</v>
      </c>
      <c r="C37" s="163" t="s">
        <v>357</v>
      </c>
      <c r="D37" s="185">
        <v>400</v>
      </c>
      <c r="E37" s="164">
        <v>170</v>
      </c>
      <c r="F37" s="164">
        <f>E37*D37</f>
        <v>68000</v>
      </c>
      <c r="G37" s="206"/>
      <c r="H37" s="206"/>
      <c r="I37" s="204"/>
      <c r="J37" s="204"/>
    </row>
    <row r="38" spans="1:11" x14ac:dyDescent="0.25">
      <c r="A38" s="163">
        <v>2</v>
      </c>
      <c r="B38" s="162" t="s">
        <v>358</v>
      </c>
      <c r="C38" s="163" t="s">
        <v>357</v>
      </c>
      <c r="D38" s="163">
        <v>100</v>
      </c>
      <c r="E38" s="164">
        <v>190</v>
      </c>
      <c r="F38" s="164">
        <f t="shared" ref="F38:F53" si="3">E38*D38</f>
        <v>19000</v>
      </c>
      <c r="G38" s="206"/>
      <c r="H38" s="206"/>
      <c r="I38" s="204"/>
      <c r="J38" s="204"/>
    </row>
    <row r="39" spans="1:11" x14ac:dyDescent="0.25">
      <c r="A39" s="163">
        <v>3</v>
      </c>
      <c r="B39" s="162" t="s">
        <v>359</v>
      </c>
      <c r="C39" s="163" t="s">
        <v>357</v>
      </c>
      <c r="D39" s="163">
        <v>15</v>
      </c>
      <c r="E39" s="164">
        <v>190</v>
      </c>
      <c r="F39" s="164">
        <f t="shared" si="3"/>
        <v>2850</v>
      </c>
      <c r="G39" s="206"/>
      <c r="H39" s="206"/>
      <c r="I39" s="204"/>
      <c r="J39" s="204"/>
    </row>
    <row r="40" spans="1:11" ht="30" x14ac:dyDescent="0.25">
      <c r="A40" s="163">
        <v>4</v>
      </c>
      <c r="B40" s="162" t="s">
        <v>360</v>
      </c>
      <c r="C40" s="163" t="s">
        <v>357</v>
      </c>
      <c r="D40" s="163">
        <v>50</v>
      </c>
      <c r="E40" s="164">
        <v>190</v>
      </c>
      <c r="F40" s="164">
        <f t="shared" si="3"/>
        <v>9500</v>
      </c>
      <c r="G40" s="206"/>
      <c r="H40" s="206"/>
      <c r="I40" s="204"/>
      <c r="J40" s="204"/>
    </row>
    <row r="41" spans="1:11" x14ac:dyDescent="0.25">
      <c r="A41" s="163">
        <v>5</v>
      </c>
      <c r="B41" s="162" t="s">
        <v>361</v>
      </c>
      <c r="C41" s="163" t="s">
        <v>357</v>
      </c>
      <c r="D41" s="163">
        <v>20</v>
      </c>
      <c r="E41" s="164">
        <v>190</v>
      </c>
      <c r="F41" s="164">
        <f t="shared" si="3"/>
        <v>3800</v>
      </c>
      <c r="G41" s="206"/>
      <c r="H41" s="206"/>
      <c r="I41" s="204"/>
      <c r="J41" s="204"/>
    </row>
    <row r="42" spans="1:11" ht="45" x14ac:dyDescent="0.25">
      <c r="A42" s="163">
        <v>6</v>
      </c>
      <c r="B42" s="183" t="s">
        <v>362</v>
      </c>
      <c r="C42" s="163" t="s">
        <v>318</v>
      </c>
      <c r="D42" s="163">
        <v>1</v>
      </c>
      <c r="E42" s="164">
        <v>350</v>
      </c>
      <c r="F42" s="164">
        <f t="shared" si="3"/>
        <v>350</v>
      </c>
      <c r="G42" s="206"/>
      <c r="H42" s="206"/>
      <c r="I42" s="204"/>
      <c r="J42" s="204"/>
    </row>
    <row r="43" spans="1:11" x14ac:dyDescent="0.25">
      <c r="A43" s="163">
        <v>7</v>
      </c>
      <c r="B43" s="162" t="s">
        <v>363</v>
      </c>
      <c r="C43" s="163" t="s">
        <v>357</v>
      </c>
      <c r="D43" s="163">
        <v>2</v>
      </c>
      <c r="E43" s="164">
        <v>190</v>
      </c>
      <c r="F43" s="164">
        <f t="shared" si="3"/>
        <v>380</v>
      </c>
      <c r="G43" s="206"/>
      <c r="H43" s="206"/>
      <c r="I43" s="204"/>
      <c r="J43" s="204"/>
    </row>
    <row r="44" spans="1:11" x14ac:dyDescent="0.25">
      <c r="A44" s="163">
        <v>8</v>
      </c>
      <c r="B44" s="162" t="s">
        <v>364</v>
      </c>
      <c r="C44" s="163" t="s">
        <v>357</v>
      </c>
      <c r="D44" s="163">
        <v>25</v>
      </c>
      <c r="E44" s="164">
        <v>180</v>
      </c>
      <c r="F44" s="164">
        <f t="shared" si="3"/>
        <v>4500</v>
      </c>
      <c r="G44" s="206"/>
      <c r="H44" s="206"/>
      <c r="I44" s="204"/>
      <c r="J44" s="204"/>
    </row>
    <row r="45" spans="1:11" x14ac:dyDescent="0.25">
      <c r="A45" s="163">
        <v>9</v>
      </c>
      <c r="B45" s="162" t="s">
        <v>365</v>
      </c>
      <c r="C45" s="163" t="s">
        <v>318</v>
      </c>
      <c r="D45" s="163">
        <v>8</v>
      </c>
      <c r="E45" s="164">
        <v>180</v>
      </c>
      <c r="F45" s="164">
        <f t="shared" si="3"/>
        <v>1440</v>
      </c>
      <c r="G45" s="206"/>
      <c r="H45" s="206"/>
      <c r="I45" s="204"/>
      <c r="J45" s="204"/>
    </row>
    <row r="46" spans="1:11" x14ac:dyDescent="0.25">
      <c r="A46" s="163">
        <v>10</v>
      </c>
      <c r="B46" s="162" t="s">
        <v>366</v>
      </c>
      <c r="C46" s="163" t="s">
        <v>318</v>
      </c>
      <c r="D46" s="163">
        <v>10</v>
      </c>
      <c r="E46" s="164">
        <v>80</v>
      </c>
      <c r="F46" s="164">
        <f t="shared" si="3"/>
        <v>800</v>
      </c>
      <c r="G46" s="206"/>
      <c r="H46" s="206"/>
      <c r="I46" s="204"/>
      <c r="J46" s="204"/>
    </row>
    <row r="47" spans="1:11" x14ac:dyDescent="0.25">
      <c r="A47" s="163">
        <v>11</v>
      </c>
      <c r="B47" s="162" t="s">
        <v>367</v>
      </c>
      <c r="C47" s="163" t="s">
        <v>318</v>
      </c>
      <c r="D47" s="163">
        <v>3</v>
      </c>
      <c r="E47" s="164">
        <v>80</v>
      </c>
      <c r="F47" s="164">
        <f t="shared" si="3"/>
        <v>240</v>
      </c>
      <c r="G47" s="206"/>
      <c r="H47" s="206"/>
      <c r="I47" s="204"/>
      <c r="J47" s="204"/>
    </row>
    <row r="48" spans="1:11" ht="45" x14ac:dyDescent="0.25">
      <c r="A48" s="163">
        <v>12</v>
      </c>
      <c r="B48" s="162" t="s">
        <v>368</v>
      </c>
      <c r="C48" s="163" t="s">
        <v>318</v>
      </c>
      <c r="D48" s="163">
        <v>2</v>
      </c>
      <c r="E48" s="164">
        <v>160</v>
      </c>
      <c r="F48" s="164">
        <f t="shared" si="3"/>
        <v>320</v>
      </c>
      <c r="G48" s="206"/>
      <c r="H48" s="206"/>
      <c r="I48" s="204"/>
      <c r="J48" s="204"/>
    </row>
    <row r="49" spans="1:11" ht="30" x14ac:dyDescent="0.25">
      <c r="A49" s="163">
        <v>14</v>
      </c>
      <c r="B49" s="183" t="s">
        <v>369</v>
      </c>
      <c r="C49" s="163" t="s">
        <v>370</v>
      </c>
      <c r="D49" s="163">
        <v>1</v>
      </c>
      <c r="E49" s="164">
        <v>325</v>
      </c>
      <c r="F49" s="164">
        <f t="shared" si="3"/>
        <v>325</v>
      </c>
      <c r="G49" s="206"/>
      <c r="H49" s="206"/>
      <c r="I49" s="204"/>
      <c r="J49" s="204"/>
    </row>
    <row r="50" spans="1:11" ht="60" x14ac:dyDescent="0.25">
      <c r="A50" s="163">
        <v>15</v>
      </c>
      <c r="B50" s="183" t="s">
        <v>371</v>
      </c>
      <c r="C50" s="163" t="s">
        <v>372</v>
      </c>
      <c r="D50" s="163">
        <v>2</v>
      </c>
      <c r="E50" s="164">
        <v>300</v>
      </c>
      <c r="F50" s="164">
        <f t="shared" si="3"/>
        <v>600</v>
      </c>
      <c r="G50" s="206"/>
      <c r="H50" s="206"/>
      <c r="I50" s="204"/>
      <c r="J50" s="204"/>
    </row>
    <row r="51" spans="1:11" ht="75" x14ac:dyDescent="0.25">
      <c r="A51" s="162"/>
      <c r="B51" s="183" t="s">
        <v>373</v>
      </c>
      <c r="C51" s="163" t="s">
        <v>357</v>
      </c>
      <c r="D51" s="163">
        <v>20</v>
      </c>
      <c r="E51" s="164">
        <v>400</v>
      </c>
      <c r="F51" s="164">
        <f t="shared" si="3"/>
        <v>8000</v>
      </c>
      <c r="G51" s="206"/>
      <c r="H51" s="206"/>
      <c r="I51" s="204"/>
      <c r="J51" s="204"/>
    </row>
    <row r="52" spans="1:11" x14ac:dyDescent="0.25">
      <c r="A52" s="163">
        <v>17</v>
      </c>
      <c r="B52" s="183" t="s">
        <v>374</v>
      </c>
      <c r="C52" s="163" t="s">
        <v>324</v>
      </c>
      <c r="D52" s="163">
        <v>10</v>
      </c>
      <c r="E52" s="164">
        <v>150</v>
      </c>
      <c r="F52" s="164">
        <f t="shared" si="3"/>
        <v>1500</v>
      </c>
      <c r="G52" s="206"/>
      <c r="H52" s="206"/>
      <c r="I52" s="204"/>
      <c r="J52" s="204"/>
    </row>
    <row r="53" spans="1:11" ht="30" x14ac:dyDescent="0.25">
      <c r="A53" s="163">
        <v>18</v>
      </c>
      <c r="B53" s="162" t="s">
        <v>375</v>
      </c>
      <c r="C53" s="163" t="s">
        <v>357</v>
      </c>
      <c r="D53" s="163">
        <v>2</v>
      </c>
      <c r="E53" s="164">
        <v>180</v>
      </c>
      <c r="F53" s="164">
        <f t="shared" si="3"/>
        <v>360</v>
      </c>
      <c r="G53" s="206"/>
      <c r="H53" s="206"/>
      <c r="I53" s="204"/>
      <c r="J53" s="204"/>
    </row>
    <row r="54" spans="1:11" x14ac:dyDescent="0.25">
      <c r="A54" s="193"/>
      <c r="B54" s="194"/>
      <c r="C54" s="193"/>
      <c r="D54" s="193"/>
      <c r="E54" s="192" t="s">
        <v>309</v>
      </c>
      <c r="F54" s="218">
        <f>SUM(F37:F53)</f>
        <v>121965</v>
      </c>
      <c r="G54" s="225"/>
      <c r="H54" s="225"/>
      <c r="I54" s="225"/>
      <c r="J54" s="228"/>
    </row>
    <row r="55" spans="1:11" x14ac:dyDescent="0.25">
      <c r="A55" s="623" t="s">
        <v>376</v>
      </c>
      <c r="B55" s="624"/>
      <c r="C55" s="624"/>
      <c r="D55" s="624"/>
      <c r="E55" s="624"/>
      <c r="F55" s="624"/>
      <c r="G55" s="625"/>
      <c r="H55" s="625"/>
      <c r="I55" s="625"/>
      <c r="J55" s="626"/>
    </row>
    <row r="56" spans="1:11" ht="82.5" customHeight="1" x14ac:dyDescent="0.25">
      <c r="A56" s="163">
        <v>1</v>
      </c>
      <c r="B56" s="183" t="s">
        <v>377</v>
      </c>
      <c r="C56" s="163" t="s">
        <v>318</v>
      </c>
      <c r="D56" s="163">
        <v>12</v>
      </c>
      <c r="E56" s="164">
        <v>780</v>
      </c>
      <c r="F56" s="164">
        <f t="shared" ref="F56:F58" si="4">PRODUCT(D56:E56)</f>
        <v>9360</v>
      </c>
      <c r="G56" s="205"/>
      <c r="H56" s="175"/>
      <c r="I56" s="174"/>
      <c r="J56" s="174"/>
    </row>
    <row r="57" spans="1:11" ht="30" x14ac:dyDescent="0.25">
      <c r="A57" s="163">
        <v>2</v>
      </c>
      <c r="B57" s="183" t="s">
        <v>378</v>
      </c>
      <c r="C57" s="163" t="s">
        <v>318</v>
      </c>
      <c r="D57" s="163">
        <v>80</v>
      </c>
      <c r="E57" s="164">
        <v>30</v>
      </c>
      <c r="F57" s="164">
        <f t="shared" si="4"/>
        <v>2400</v>
      </c>
      <c r="G57" s="205"/>
      <c r="H57" s="175"/>
      <c r="I57" s="174"/>
      <c r="J57" s="174"/>
    </row>
    <row r="58" spans="1:11" ht="60" x14ac:dyDescent="0.25">
      <c r="A58" s="163">
        <v>3</v>
      </c>
      <c r="B58" s="183" t="s">
        <v>379</v>
      </c>
      <c r="C58" s="163" t="s">
        <v>318</v>
      </c>
      <c r="D58" s="163">
        <v>3</v>
      </c>
      <c r="E58" s="164">
        <v>1000</v>
      </c>
      <c r="F58" s="164">
        <f t="shared" si="4"/>
        <v>3000</v>
      </c>
      <c r="G58" s="205"/>
      <c r="H58" s="175"/>
      <c r="I58" s="174"/>
      <c r="J58" s="174"/>
    </row>
    <row r="59" spans="1:11" x14ac:dyDescent="0.25">
      <c r="A59" s="188"/>
      <c r="B59" s="188"/>
      <c r="C59" s="188"/>
      <c r="D59" s="188"/>
      <c r="E59" s="192" t="s">
        <v>309</v>
      </c>
      <c r="F59" s="192">
        <f>SUM(F56:F58)</f>
        <v>14760</v>
      </c>
      <c r="G59" s="222"/>
      <c r="H59" s="223"/>
      <c r="I59" s="224"/>
      <c r="J59" s="224"/>
    </row>
    <row r="60" spans="1:11" x14ac:dyDescent="0.25">
      <c r="A60" s="196"/>
      <c r="B60" s="197"/>
      <c r="C60" s="196"/>
      <c r="D60" s="195"/>
      <c r="E60" s="198" t="s">
        <v>380</v>
      </c>
      <c r="F60" s="198">
        <f>F59+F54+F35+F29</f>
        <v>250000</v>
      </c>
      <c r="G60" s="225"/>
      <c r="H60" s="226"/>
      <c r="I60" s="227"/>
      <c r="J60" s="220"/>
    </row>
    <row r="61" spans="1:11" x14ac:dyDescent="0.25">
      <c r="A61" s="199"/>
      <c r="B61" s="200"/>
      <c r="C61" s="201"/>
      <c r="D61" s="627">
        <v>250000</v>
      </c>
      <c r="E61" s="627"/>
      <c r="F61" s="627"/>
      <c r="G61" s="229"/>
      <c r="H61" s="230"/>
      <c r="I61" s="231"/>
      <c r="J61" s="232"/>
    </row>
    <row r="64" spans="1:11" ht="15" customHeight="1" x14ac:dyDescent="0.25">
      <c r="A64" s="610" t="s">
        <v>312</v>
      </c>
      <c r="B64" s="610"/>
      <c r="C64" s="610"/>
      <c r="D64" s="610"/>
      <c r="E64" s="610"/>
      <c r="F64" s="610"/>
      <c r="G64" s="610"/>
      <c r="H64" s="610"/>
      <c r="I64" s="610"/>
      <c r="J64" s="610"/>
      <c r="K64" s="620"/>
    </row>
    <row r="65" spans="1:10" x14ac:dyDescent="0.25">
      <c r="A65" s="592" t="s">
        <v>564</v>
      </c>
      <c r="B65" s="593"/>
      <c r="C65" s="593"/>
      <c r="D65" s="593"/>
      <c r="E65" s="593"/>
      <c r="F65" s="593"/>
      <c r="G65" s="594"/>
      <c r="H65" s="594"/>
      <c r="I65" s="594"/>
      <c r="J65" s="595"/>
    </row>
    <row r="66" spans="1:10" x14ac:dyDescent="0.25">
      <c r="A66" s="256"/>
      <c r="B66" s="257"/>
      <c r="C66" s="257" t="s">
        <v>417</v>
      </c>
      <c r="D66" s="257"/>
      <c r="E66" s="257"/>
      <c r="F66" s="257"/>
      <c r="G66" s="258"/>
      <c r="H66" s="258"/>
      <c r="I66" s="258"/>
      <c r="J66" s="258"/>
    </row>
    <row r="67" spans="1:10" x14ac:dyDescent="0.25">
      <c r="A67" s="246" t="s">
        <v>302</v>
      </c>
      <c r="B67" s="246" t="s">
        <v>303</v>
      </c>
      <c r="C67" s="247" t="s">
        <v>393</v>
      </c>
      <c r="D67" s="247" t="s">
        <v>304</v>
      </c>
      <c r="E67" s="248" t="s">
        <v>315</v>
      </c>
      <c r="F67" s="248" t="s">
        <v>59</v>
      </c>
      <c r="G67" s="252"/>
      <c r="H67" s="252"/>
      <c r="I67" s="253"/>
      <c r="J67" s="253"/>
    </row>
    <row r="68" spans="1:10" ht="30" x14ac:dyDescent="0.25">
      <c r="A68" s="157">
        <v>1</v>
      </c>
      <c r="B68" s="162" t="s">
        <v>394</v>
      </c>
      <c r="C68" s="157" t="s">
        <v>318</v>
      </c>
      <c r="D68" s="163">
        <v>30</v>
      </c>
      <c r="E68" s="164">
        <v>200</v>
      </c>
      <c r="F68" s="164">
        <f t="shared" ref="F68:F89" si="5">PRODUCT(D68:E68)</f>
        <v>6000</v>
      </c>
      <c r="G68" s="202"/>
      <c r="H68" s="202"/>
      <c r="I68" s="174"/>
      <c r="J68" s="174"/>
    </row>
    <row r="69" spans="1:10" x14ac:dyDescent="0.25">
      <c r="A69" s="157">
        <v>2</v>
      </c>
      <c r="B69" s="183" t="s">
        <v>395</v>
      </c>
      <c r="C69" s="163" t="s">
        <v>318</v>
      </c>
      <c r="D69" s="163">
        <v>20</v>
      </c>
      <c r="E69" s="164">
        <v>100</v>
      </c>
      <c r="F69" s="164">
        <f t="shared" si="5"/>
        <v>2000</v>
      </c>
      <c r="G69" s="202"/>
      <c r="H69" s="202"/>
      <c r="I69" s="174"/>
      <c r="J69" s="174"/>
    </row>
    <row r="70" spans="1:10" ht="30" x14ac:dyDescent="0.25">
      <c r="A70" s="157">
        <v>3</v>
      </c>
      <c r="B70" s="187" t="s">
        <v>396</v>
      </c>
      <c r="C70" s="163" t="s">
        <v>318</v>
      </c>
      <c r="D70" s="163">
        <v>10</v>
      </c>
      <c r="E70" s="164">
        <v>250</v>
      </c>
      <c r="F70" s="164">
        <f t="shared" si="5"/>
        <v>2500</v>
      </c>
      <c r="G70" s="202"/>
      <c r="H70" s="202"/>
      <c r="I70" s="174"/>
      <c r="J70" s="174"/>
    </row>
    <row r="71" spans="1:10" x14ac:dyDescent="0.25">
      <c r="A71" s="157">
        <v>4</v>
      </c>
      <c r="B71" s="182" t="s">
        <v>397</v>
      </c>
      <c r="C71" s="157" t="s">
        <v>318</v>
      </c>
      <c r="D71" s="163">
        <v>5</v>
      </c>
      <c r="E71" s="164">
        <v>160</v>
      </c>
      <c r="F71" s="164">
        <f t="shared" si="5"/>
        <v>800</v>
      </c>
      <c r="G71" s="211"/>
      <c r="H71" s="202"/>
      <c r="I71" s="174"/>
      <c r="J71" s="174"/>
    </row>
    <row r="72" spans="1:10" x14ac:dyDescent="0.25">
      <c r="A72" s="157">
        <v>5</v>
      </c>
      <c r="B72" s="182" t="s">
        <v>398</v>
      </c>
      <c r="C72" s="157" t="s">
        <v>318</v>
      </c>
      <c r="D72" s="163">
        <v>6</v>
      </c>
      <c r="E72" s="164">
        <v>160</v>
      </c>
      <c r="F72" s="164">
        <f t="shared" si="5"/>
        <v>960</v>
      </c>
      <c r="G72" s="211"/>
      <c r="H72" s="202"/>
      <c r="I72" s="174"/>
      <c r="J72" s="174"/>
    </row>
    <row r="73" spans="1:10" x14ac:dyDescent="0.25">
      <c r="A73" s="157">
        <v>6</v>
      </c>
      <c r="B73" s="182" t="s">
        <v>399</v>
      </c>
      <c r="C73" s="157" t="s">
        <v>318</v>
      </c>
      <c r="D73" s="163">
        <v>3</v>
      </c>
      <c r="E73" s="164">
        <v>160</v>
      </c>
      <c r="F73" s="164">
        <f t="shared" si="5"/>
        <v>480</v>
      </c>
      <c r="G73" s="211"/>
      <c r="H73" s="202"/>
      <c r="I73" s="174"/>
      <c r="J73" s="174"/>
    </row>
    <row r="74" spans="1:10" x14ac:dyDescent="0.25">
      <c r="A74" s="157">
        <v>7</v>
      </c>
      <c r="B74" s="182" t="s">
        <v>400</v>
      </c>
      <c r="C74" s="157" t="s">
        <v>318</v>
      </c>
      <c r="D74" s="163">
        <v>10</v>
      </c>
      <c r="E74" s="164">
        <v>50</v>
      </c>
      <c r="F74" s="164">
        <f t="shared" si="5"/>
        <v>500</v>
      </c>
      <c r="G74" s="211"/>
      <c r="H74" s="202"/>
      <c r="I74" s="174"/>
      <c r="J74" s="174"/>
    </row>
    <row r="75" spans="1:10" x14ac:dyDescent="0.25">
      <c r="A75" s="157">
        <v>8</v>
      </c>
      <c r="B75" s="182" t="s">
        <v>401</v>
      </c>
      <c r="C75" s="157" t="s">
        <v>318</v>
      </c>
      <c r="D75" s="163">
        <v>10</v>
      </c>
      <c r="E75" s="164">
        <v>50</v>
      </c>
      <c r="F75" s="164">
        <f t="shared" si="5"/>
        <v>500</v>
      </c>
      <c r="G75" s="202"/>
      <c r="H75" s="202"/>
      <c r="I75" s="174"/>
      <c r="J75" s="174"/>
    </row>
    <row r="76" spans="1:10" ht="30" x14ac:dyDescent="0.25">
      <c r="A76" s="157">
        <v>9</v>
      </c>
      <c r="B76" s="162" t="s">
        <v>402</v>
      </c>
      <c r="C76" s="157" t="s">
        <v>318</v>
      </c>
      <c r="D76" s="163">
        <v>2</v>
      </c>
      <c r="E76" s="164">
        <v>200</v>
      </c>
      <c r="F76" s="164">
        <f t="shared" si="5"/>
        <v>400</v>
      </c>
      <c r="G76" s="202"/>
      <c r="H76" s="202"/>
      <c r="I76" s="174"/>
      <c r="J76" s="174"/>
    </row>
    <row r="77" spans="1:10" ht="30" x14ac:dyDescent="0.25">
      <c r="A77" s="157">
        <v>10</v>
      </c>
      <c r="B77" s="183" t="s">
        <v>403</v>
      </c>
      <c r="C77" s="157" t="s">
        <v>318</v>
      </c>
      <c r="D77" s="163">
        <v>5</v>
      </c>
      <c r="E77" s="164">
        <v>392</v>
      </c>
      <c r="F77" s="164">
        <f t="shared" si="5"/>
        <v>1960</v>
      </c>
      <c r="G77" s="202"/>
      <c r="H77" s="202"/>
      <c r="I77" s="174"/>
      <c r="J77" s="174"/>
    </row>
    <row r="78" spans="1:10" x14ac:dyDescent="0.25">
      <c r="A78" s="157">
        <v>11</v>
      </c>
      <c r="B78" s="182" t="s">
        <v>404</v>
      </c>
      <c r="C78" s="157" t="s">
        <v>318</v>
      </c>
      <c r="D78" s="163">
        <v>30</v>
      </c>
      <c r="E78" s="164">
        <v>270</v>
      </c>
      <c r="F78" s="164">
        <f t="shared" si="5"/>
        <v>8100</v>
      </c>
      <c r="G78" s="202"/>
      <c r="H78" s="202"/>
      <c r="I78" s="174"/>
      <c r="J78" s="174"/>
    </row>
    <row r="79" spans="1:10" x14ac:dyDescent="0.25">
      <c r="A79" s="157">
        <v>12</v>
      </c>
      <c r="B79" s="182" t="s">
        <v>405</v>
      </c>
      <c r="C79" s="157" t="s">
        <v>318</v>
      </c>
      <c r="D79" s="163">
        <v>20</v>
      </c>
      <c r="E79" s="164">
        <v>21</v>
      </c>
      <c r="F79" s="164">
        <f t="shared" si="5"/>
        <v>420</v>
      </c>
      <c r="G79" s="202"/>
      <c r="H79" s="202"/>
      <c r="I79" s="174"/>
      <c r="J79" s="174"/>
    </row>
    <row r="80" spans="1:10" x14ac:dyDescent="0.25">
      <c r="A80" s="157">
        <v>13</v>
      </c>
      <c r="B80" s="182" t="s">
        <v>406</v>
      </c>
      <c r="C80" s="157" t="s">
        <v>318</v>
      </c>
      <c r="D80" s="163">
        <v>5</v>
      </c>
      <c r="E80" s="164">
        <v>148</v>
      </c>
      <c r="F80" s="164">
        <f t="shared" si="5"/>
        <v>740</v>
      </c>
      <c r="G80" s="202"/>
      <c r="H80" s="202"/>
      <c r="I80" s="174"/>
      <c r="J80" s="174"/>
    </row>
    <row r="81" spans="1:11" x14ac:dyDescent="0.25">
      <c r="A81" s="157">
        <v>14</v>
      </c>
      <c r="B81" s="182" t="s">
        <v>407</v>
      </c>
      <c r="C81" s="157" t="s">
        <v>318</v>
      </c>
      <c r="D81" s="163">
        <v>10</v>
      </c>
      <c r="E81" s="164">
        <v>69</v>
      </c>
      <c r="F81" s="164">
        <f t="shared" si="5"/>
        <v>690</v>
      </c>
      <c r="G81" s="202"/>
      <c r="H81" s="202"/>
      <c r="I81" s="174"/>
      <c r="J81" s="174"/>
    </row>
    <row r="82" spans="1:11" x14ac:dyDescent="0.25">
      <c r="A82" s="157">
        <v>15</v>
      </c>
      <c r="B82" s="182" t="s">
        <v>408</v>
      </c>
      <c r="C82" s="157" t="s">
        <v>318</v>
      </c>
      <c r="D82" s="163">
        <v>10</v>
      </c>
      <c r="E82" s="164">
        <v>65</v>
      </c>
      <c r="F82" s="164">
        <f t="shared" si="5"/>
        <v>650</v>
      </c>
      <c r="G82" s="202"/>
      <c r="H82" s="202"/>
      <c r="I82" s="174"/>
      <c r="J82" s="174"/>
    </row>
    <row r="83" spans="1:11" ht="30" x14ac:dyDescent="0.25">
      <c r="A83" s="157">
        <v>16</v>
      </c>
      <c r="B83" s="162" t="s">
        <v>409</v>
      </c>
      <c r="C83" s="157" t="s">
        <v>318</v>
      </c>
      <c r="D83" s="163">
        <v>20</v>
      </c>
      <c r="E83" s="164">
        <v>100</v>
      </c>
      <c r="F83" s="164">
        <f t="shared" si="5"/>
        <v>2000</v>
      </c>
      <c r="G83" s="202"/>
      <c r="H83" s="202"/>
      <c r="I83" s="174"/>
      <c r="J83" s="174"/>
    </row>
    <row r="84" spans="1:11" x14ac:dyDescent="0.25">
      <c r="A84" s="157">
        <v>17</v>
      </c>
      <c r="B84" s="182" t="s">
        <v>410</v>
      </c>
      <c r="C84" s="157" t="s">
        <v>318</v>
      </c>
      <c r="D84" s="163">
        <v>10</v>
      </c>
      <c r="E84" s="164">
        <v>700</v>
      </c>
      <c r="F84" s="164">
        <f t="shared" si="5"/>
        <v>7000</v>
      </c>
      <c r="G84" s="202"/>
      <c r="H84" s="202"/>
      <c r="I84" s="174"/>
      <c r="J84" s="174"/>
    </row>
    <row r="85" spans="1:11" ht="60" x14ac:dyDescent="0.25">
      <c r="A85" s="157">
        <v>18</v>
      </c>
      <c r="B85" s="183" t="s">
        <v>411</v>
      </c>
      <c r="C85" s="157" t="s">
        <v>318</v>
      </c>
      <c r="D85" s="163">
        <v>2</v>
      </c>
      <c r="E85" s="164">
        <v>450</v>
      </c>
      <c r="F85" s="164">
        <f t="shared" si="5"/>
        <v>900</v>
      </c>
      <c r="G85" s="202"/>
      <c r="H85" s="202"/>
      <c r="I85" s="174"/>
      <c r="J85" s="174"/>
    </row>
    <row r="86" spans="1:11" ht="45" x14ac:dyDescent="0.25">
      <c r="A86" s="157">
        <v>19</v>
      </c>
      <c r="B86" s="183" t="s">
        <v>412</v>
      </c>
      <c r="C86" s="157" t="s">
        <v>318</v>
      </c>
      <c r="D86" s="163">
        <v>3</v>
      </c>
      <c r="E86" s="164">
        <v>200</v>
      </c>
      <c r="F86" s="164">
        <f t="shared" si="5"/>
        <v>600</v>
      </c>
      <c r="G86" s="202"/>
      <c r="H86" s="202"/>
      <c r="I86" s="174"/>
      <c r="J86" s="174"/>
    </row>
    <row r="87" spans="1:11" x14ac:dyDescent="0.25">
      <c r="A87" s="157">
        <v>20</v>
      </c>
      <c r="B87" s="162" t="s">
        <v>413</v>
      </c>
      <c r="C87" s="157" t="s">
        <v>318</v>
      </c>
      <c r="D87" s="163">
        <v>10</v>
      </c>
      <c r="E87" s="164">
        <v>100</v>
      </c>
      <c r="F87" s="164">
        <f t="shared" si="5"/>
        <v>1000</v>
      </c>
      <c r="G87" s="211"/>
      <c r="H87" s="202"/>
      <c r="I87" s="174"/>
      <c r="J87" s="174"/>
    </row>
    <row r="88" spans="1:11" x14ac:dyDescent="0.25">
      <c r="A88" s="157">
        <v>21</v>
      </c>
      <c r="B88" s="249" t="s">
        <v>414</v>
      </c>
      <c r="C88" s="163" t="s">
        <v>415</v>
      </c>
      <c r="D88" s="163">
        <v>4</v>
      </c>
      <c r="E88" s="164">
        <v>500</v>
      </c>
      <c r="F88" s="164">
        <f t="shared" si="5"/>
        <v>2000</v>
      </c>
      <c r="G88" s="202"/>
      <c r="H88" s="202"/>
      <c r="I88" s="174"/>
      <c r="J88" s="174"/>
    </row>
    <row r="89" spans="1:11" ht="30" x14ac:dyDescent="0.25">
      <c r="A89" s="157">
        <v>22</v>
      </c>
      <c r="B89" s="162" t="s">
        <v>416</v>
      </c>
      <c r="C89" s="157" t="s">
        <v>318</v>
      </c>
      <c r="D89" s="163">
        <v>10</v>
      </c>
      <c r="E89" s="164">
        <v>180</v>
      </c>
      <c r="F89" s="164">
        <f t="shared" si="5"/>
        <v>1800</v>
      </c>
      <c r="G89" s="202"/>
      <c r="H89" s="202"/>
      <c r="I89" s="174"/>
      <c r="J89" s="174"/>
    </row>
    <row r="90" spans="1:11" x14ac:dyDescent="0.25">
      <c r="A90" s="250"/>
      <c r="B90" s="251"/>
      <c r="C90" s="196"/>
      <c r="D90" s="196"/>
      <c r="E90" s="198" t="s">
        <v>309</v>
      </c>
      <c r="F90" s="198">
        <f>SUM(F68:F89)</f>
        <v>42000</v>
      </c>
      <c r="G90" s="254"/>
      <c r="H90" s="254"/>
      <c r="I90" s="255"/>
      <c r="J90" s="224"/>
    </row>
    <row r="93" spans="1:11" x14ac:dyDescent="0.25">
      <c r="A93" s="610" t="s">
        <v>312</v>
      </c>
      <c r="B93" s="610"/>
      <c r="C93" s="610"/>
      <c r="D93" s="610"/>
      <c r="E93" s="610"/>
      <c r="F93" s="610"/>
      <c r="G93" s="610"/>
      <c r="H93" s="610"/>
      <c r="I93" s="610"/>
      <c r="J93" s="610"/>
      <c r="K93" s="620"/>
    </row>
    <row r="94" spans="1:11" x14ac:dyDescent="0.25">
      <c r="A94" s="592" t="s">
        <v>392</v>
      </c>
      <c r="B94" s="593"/>
      <c r="C94" s="593"/>
      <c r="D94" s="593"/>
      <c r="E94" s="593"/>
      <c r="F94" s="593"/>
      <c r="G94" s="594"/>
      <c r="H94" s="594"/>
      <c r="I94" s="594"/>
      <c r="J94" s="595"/>
    </row>
    <row r="95" spans="1:11" x14ac:dyDescent="0.25">
      <c r="A95" s="256"/>
      <c r="B95" s="257"/>
      <c r="C95" s="257" t="s">
        <v>417</v>
      </c>
      <c r="D95" s="257"/>
      <c r="E95" s="257"/>
      <c r="F95" s="257"/>
      <c r="G95" s="258"/>
      <c r="H95" s="258"/>
      <c r="I95" s="258"/>
      <c r="J95" s="258"/>
    </row>
    <row r="96" spans="1:11" x14ac:dyDescent="0.25">
      <c r="A96" s="618" t="s">
        <v>418</v>
      </c>
      <c r="B96" s="616"/>
      <c r="C96" s="616"/>
      <c r="D96" s="616"/>
      <c r="E96" s="616"/>
      <c r="F96" s="616"/>
      <c r="G96" s="616"/>
      <c r="H96" s="616"/>
      <c r="I96" s="616"/>
    </row>
    <row r="97" spans="1:12" x14ac:dyDescent="0.25">
      <c r="A97" s="259" t="s">
        <v>302</v>
      </c>
      <c r="B97" s="259" t="s">
        <v>303</v>
      </c>
      <c r="C97" s="260" t="s">
        <v>304</v>
      </c>
      <c r="D97" s="156" t="s">
        <v>305</v>
      </c>
      <c r="E97" s="261" t="s">
        <v>306</v>
      </c>
      <c r="F97" s="619"/>
      <c r="G97" s="619"/>
      <c r="H97" s="619"/>
      <c r="I97" s="619"/>
    </row>
    <row r="98" spans="1:12" x14ac:dyDescent="0.25">
      <c r="A98" s="153">
        <v>1</v>
      </c>
      <c r="B98" s="262" t="s">
        <v>419</v>
      </c>
      <c r="C98" s="263">
        <v>5</v>
      </c>
      <c r="D98" s="264">
        <v>700</v>
      </c>
      <c r="E98" s="265">
        <f>C98*D98</f>
        <v>3500</v>
      </c>
      <c r="F98" s="619"/>
      <c r="G98" s="619"/>
      <c r="H98" s="619"/>
      <c r="I98" s="619"/>
    </row>
    <row r="99" spans="1:12" ht="45" x14ac:dyDescent="0.25">
      <c r="A99" s="153">
        <v>2</v>
      </c>
      <c r="B99" s="266" t="s">
        <v>420</v>
      </c>
      <c r="C99" s="267">
        <v>2</v>
      </c>
      <c r="D99" s="268">
        <v>10000</v>
      </c>
      <c r="E99" s="265">
        <f>C99*D99</f>
        <v>20000</v>
      </c>
      <c r="F99" s="619"/>
      <c r="G99" s="619"/>
      <c r="H99" s="619"/>
      <c r="I99" s="619"/>
    </row>
    <row r="100" spans="1:12" x14ac:dyDescent="0.25">
      <c r="A100" s="269"/>
      <c r="B100" s="269"/>
      <c r="C100" s="270"/>
      <c r="D100" s="271" t="s">
        <v>309</v>
      </c>
      <c r="E100" s="168">
        <f>SUM(E98:E99)</f>
        <v>23500</v>
      </c>
      <c r="F100" s="619"/>
      <c r="G100" s="619"/>
      <c r="H100" s="619"/>
      <c r="I100" s="619"/>
    </row>
    <row r="106" spans="1:12" ht="15" customHeight="1" x14ac:dyDescent="0.25">
      <c r="A106" s="610" t="s">
        <v>312</v>
      </c>
      <c r="B106" s="610"/>
      <c r="C106" s="610"/>
      <c r="D106" s="610"/>
      <c r="E106" s="610"/>
      <c r="F106" s="610"/>
      <c r="G106" s="610"/>
      <c r="H106" s="610"/>
      <c r="I106" s="610"/>
      <c r="J106" s="610"/>
      <c r="K106" s="610"/>
      <c r="L106" s="620"/>
    </row>
    <row r="107" spans="1:12" ht="15" customHeight="1" x14ac:dyDescent="0.25">
      <c r="A107" s="274"/>
      <c r="B107" s="274"/>
      <c r="C107" s="274"/>
      <c r="D107" s="622" t="s">
        <v>417</v>
      </c>
      <c r="E107" s="622"/>
      <c r="F107" s="622"/>
      <c r="G107" s="622"/>
      <c r="H107" s="274"/>
      <c r="I107" s="274"/>
      <c r="J107" s="274"/>
      <c r="K107" s="274"/>
      <c r="L107" s="274"/>
    </row>
    <row r="108" spans="1:12" x14ac:dyDescent="0.25">
      <c r="A108" s="621" t="s">
        <v>425</v>
      </c>
      <c r="B108" s="621"/>
      <c r="C108" s="621"/>
      <c r="D108" s="621"/>
      <c r="E108" s="621"/>
      <c r="F108" s="621"/>
      <c r="G108" s="621"/>
      <c r="H108" s="621"/>
      <c r="I108" s="621"/>
      <c r="J108" s="621"/>
    </row>
    <row r="109" spans="1:12" x14ac:dyDescent="0.25">
      <c r="A109" s="246" t="s">
        <v>302</v>
      </c>
      <c r="B109" s="246" t="s">
        <v>303</v>
      </c>
      <c r="C109" s="247" t="s">
        <v>393</v>
      </c>
      <c r="D109" s="247" t="s">
        <v>304</v>
      </c>
      <c r="E109" s="248" t="s">
        <v>315</v>
      </c>
      <c r="F109" s="248" t="s">
        <v>306</v>
      </c>
      <c r="G109" s="613"/>
      <c r="H109" s="613"/>
      <c r="I109" s="613"/>
      <c r="J109" s="613"/>
    </row>
    <row r="110" spans="1:12" x14ac:dyDescent="0.25">
      <c r="A110" s="182">
        <v>1</v>
      </c>
      <c r="B110" s="182" t="s">
        <v>404</v>
      </c>
      <c r="C110" s="163" t="s">
        <v>318</v>
      </c>
      <c r="D110" s="163">
        <v>240</v>
      </c>
      <c r="E110" s="164">
        <v>260</v>
      </c>
      <c r="F110" s="164">
        <f t="shared" ref="F110:F114" si="6">PRODUCT(D110:E110)</f>
        <v>62400</v>
      </c>
      <c r="G110" s="613"/>
      <c r="H110" s="613"/>
      <c r="I110" s="613"/>
      <c r="J110" s="613"/>
    </row>
    <row r="111" spans="1:12" x14ac:dyDescent="0.25">
      <c r="A111" s="182">
        <v>2</v>
      </c>
      <c r="B111" s="162" t="s">
        <v>421</v>
      </c>
      <c r="C111" s="163" t="s">
        <v>318</v>
      </c>
      <c r="D111" s="163">
        <v>16</v>
      </c>
      <c r="E111" s="164">
        <v>2600</v>
      </c>
      <c r="F111" s="164">
        <f t="shared" si="6"/>
        <v>41600</v>
      </c>
      <c r="G111" s="613"/>
      <c r="H111" s="613"/>
      <c r="I111" s="613"/>
      <c r="J111" s="613"/>
    </row>
    <row r="112" spans="1:12" ht="30" x14ac:dyDescent="0.25">
      <c r="A112" s="182">
        <v>3</v>
      </c>
      <c r="B112" s="183" t="s">
        <v>422</v>
      </c>
      <c r="C112" s="157" t="s">
        <v>318</v>
      </c>
      <c r="D112" s="163">
        <v>2</v>
      </c>
      <c r="E112" s="164">
        <v>2000</v>
      </c>
      <c r="F112" s="164">
        <f t="shared" si="6"/>
        <v>4000</v>
      </c>
      <c r="G112" s="613"/>
      <c r="H112" s="613"/>
      <c r="I112" s="613"/>
      <c r="J112" s="613"/>
    </row>
    <row r="113" spans="1:13" ht="30" x14ac:dyDescent="0.25">
      <c r="A113" s="182">
        <v>4</v>
      </c>
      <c r="B113" s="162" t="s">
        <v>423</v>
      </c>
      <c r="C113" s="157" t="s">
        <v>415</v>
      </c>
      <c r="D113" s="163">
        <v>4</v>
      </c>
      <c r="E113" s="164">
        <v>2000</v>
      </c>
      <c r="F113" s="164">
        <f t="shared" si="6"/>
        <v>8000</v>
      </c>
      <c r="G113" s="613"/>
      <c r="H113" s="613"/>
      <c r="I113" s="613"/>
      <c r="J113" s="613"/>
    </row>
    <row r="114" spans="1:13" x14ac:dyDescent="0.25">
      <c r="A114" s="182">
        <v>5</v>
      </c>
      <c r="B114" s="182" t="s">
        <v>424</v>
      </c>
      <c r="C114" s="157" t="s">
        <v>318</v>
      </c>
      <c r="D114" s="163">
        <v>2</v>
      </c>
      <c r="E114" s="164">
        <v>2000</v>
      </c>
      <c r="F114" s="164">
        <f t="shared" si="6"/>
        <v>4000</v>
      </c>
      <c r="G114" s="613"/>
      <c r="H114" s="613"/>
      <c r="I114" s="613"/>
      <c r="J114" s="613"/>
    </row>
    <row r="115" spans="1:13" x14ac:dyDescent="0.25">
      <c r="A115" s="250"/>
      <c r="B115" s="250"/>
      <c r="C115" s="196"/>
      <c r="D115" s="196"/>
      <c r="E115" s="198" t="s">
        <v>309</v>
      </c>
      <c r="F115" s="198">
        <f>SUM(F110:F114)</f>
        <v>120000</v>
      </c>
      <c r="G115" s="613"/>
      <c r="H115" s="613"/>
      <c r="I115" s="613"/>
      <c r="J115" s="613"/>
    </row>
    <row r="121" spans="1:13" ht="31.5" customHeight="1" x14ac:dyDescent="0.25">
      <c r="A121" s="610" t="s">
        <v>312</v>
      </c>
      <c r="B121" s="610"/>
      <c r="C121" s="610"/>
      <c r="D121" s="610"/>
      <c r="E121" s="610"/>
      <c r="F121" s="610"/>
      <c r="G121" s="610"/>
      <c r="H121" s="272"/>
      <c r="I121" s="272"/>
      <c r="J121" s="272"/>
      <c r="K121" s="272"/>
      <c r="L121" s="272"/>
      <c r="M121" s="273"/>
    </row>
    <row r="122" spans="1:13" x14ac:dyDescent="0.25">
      <c r="A122" s="614" t="s">
        <v>432</v>
      </c>
      <c r="B122" s="615"/>
      <c r="C122" s="615"/>
      <c r="D122" s="615"/>
      <c r="E122" s="615"/>
      <c r="F122" s="615"/>
      <c r="G122" s="616"/>
      <c r="H122" s="616"/>
      <c r="I122" s="616"/>
      <c r="J122" s="617"/>
    </row>
    <row r="123" spans="1:13" x14ac:dyDescent="0.25">
      <c r="A123" s="614" t="s">
        <v>433</v>
      </c>
      <c r="B123" s="615"/>
      <c r="C123" s="615"/>
      <c r="D123" s="615"/>
      <c r="E123" s="615"/>
      <c r="F123" s="615"/>
      <c r="G123" s="289"/>
      <c r="H123" s="289"/>
      <c r="I123" s="289"/>
      <c r="J123" s="289"/>
    </row>
    <row r="124" spans="1:13" x14ac:dyDescent="0.25">
      <c r="A124" s="246" t="s">
        <v>302</v>
      </c>
      <c r="B124" s="246" t="s">
        <v>303</v>
      </c>
      <c r="C124" s="247" t="s">
        <v>393</v>
      </c>
      <c r="D124" s="247" t="s">
        <v>304</v>
      </c>
      <c r="E124" s="248" t="s">
        <v>315</v>
      </c>
      <c r="F124" s="248" t="s">
        <v>306</v>
      </c>
      <c r="G124" s="252"/>
      <c r="H124" s="252"/>
      <c r="I124" s="252"/>
      <c r="J124" s="252"/>
    </row>
    <row r="125" spans="1:13" ht="30" x14ac:dyDescent="0.25">
      <c r="A125" s="157">
        <v>1</v>
      </c>
      <c r="B125" s="249" t="s">
        <v>429</v>
      </c>
      <c r="C125" s="163" t="s">
        <v>318</v>
      </c>
      <c r="D125" s="163">
        <v>30</v>
      </c>
      <c r="E125" s="164">
        <v>64</v>
      </c>
      <c r="F125" s="164">
        <f t="shared" ref="F125:F128" si="7">PRODUCT(D125:E125)</f>
        <v>1920</v>
      </c>
      <c r="G125" s="252"/>
      <c r="H125" s="252"/>
      <c r="I125" s="252"/>
      <c r="J125" s="252"/>
    </row>
    <row r="126" spans="1:13" x14ac:dyDescent="0.25">
      <c r="A126" s="157">
        <v>2</v>
      </c>
      <c r="B126" s="249" t="s">
        <v>430</v>
      </c>
      <c r="C126" s="163" t="s">
        <v>318</v>
      </c>
      <c r="D126" s="163">
        <v>16</v>
      </c>
      <c r="E126" s="164">
        <v>60</v>
      </c>
      <c r="F126" s="164">
        <f t="shared" si="7"/>
        <v>960</v>
      </c>
      <c r="G126" s="252"/>
      <c r="H126" s="252"/>
      <c r="I126" s="252"/>
      <c r="J126" s="252"/>
    </row>
    <row r="127" spans="1:13" x14ac:dyDescent="0.25">
      <c r="A127" s="157">
        <v>3</v>
      </c>
      <c r="B127" s="249" t="s">
        <v>431</v>
      </c>
      <c r="C127" s="163" t="s">
        <v>318</v>
      </c>
      <c r="D127" s="163">
        <v>16</v>
      </c>
      <c r="E127" s="164">
        <v>70</v>
      </c>
      <c r="F127" s="164">
        <f t="shared" si="7"/>
        <v>1120</v>
      </c>
      <c r="G127" s="252"/>
      <c r="H127" s="252"/>
      <c r="I127" s="252"/>
      <c r="J127" s="252"/>
    </row>
    <row r="128" spans="1:13" x14ac:dyDescent="0.25">
      <c r="A128" s="157">
        <v>4</v>
      </c>
      <c r="B128" s="249" t="s">
        <v>414</v>
      </c>
      <c r="C128" s="163" t="s">
        <v>318</v>
      </c>
      <c r="D128" s="163">
        <v>100</v>
      </c>
      <c r="E128" s="164">
        <v>10</v>
      </c>
      <c r="F128" s="164">
        <f t="shared" si="7"/>
        <v>1000</v>
      </c>
      <c r="G128" s="252"/>
      <c r="H128" s="252"/>
      <c r="I128" s="252"/>
      <c r="J128" s="252"/>
    </row>
    <row r="129" spans="1:10" x14ac:dyDescent="0.25">
      <c r="A129" s="250"/>
      <c r="B129" s="251" t="s">
        <v>104</v>
      </c>
      <c r="C129" s="196"/>
      <c r="D129" s="196"/>
      <c r="E129" s="198" t="s">
        <v>309</v>
      </c>
      <c r="F129" s="198">
        <f>SUM(F125:F128)</f>
        <v>5000</v>
      </c>
      <c r="G129" s="252"/>
      <c r="H129" s="252"/>
      <c r="I129" s="252"/>
      <c r="J129" s="252"/>
    </row>
    <row r="132" spans="1:10" x14ac:dyDescent="0.25">
      <c r="B132" s="610" t="s">
        <v>312</v>
      </c>
      <c r="C132" s="610"/>
      <c r="D132" s="610"/>
      <c r="E132" s="610"/>
      <c r="F132" s="610"/>
      <c r="G132" s="610"/>
      <c r="H132" s="610"/>
    </row>
    <row r="133" spans="1:10" x14ac:dyDescent="0.25">
      <c r="C133" s="611" t="s">
        <v>417</v>
      </c>
      <c r="D133" s="611"/>
      <c r="E133" s="611"/>
      <c r="F133" s="611"/>
      <c r="G133" s="611"/>
    </row>
    <row r="134" spans="1:10" x14ac:dyDescent="0.25">
      <c r="A134" s="592" t="s">
        <v>437</v>
      </c>
      <c r="B134" s="593"/>
      <c r="C134" s="593"/>
      <c r="D134" s="593"/>
      <c r="E134" s="593"/>
      <c r="F134" s="593"/>
      <c r="G134" s="594"/>
      <c r="H134" s="594"/>
      <c r="I134" s="594"/>
      <c r="J134" s="595"/>
    </row>
    <row r="135" spans="1:10" x14ac:dyDescent="0.25">
      <c r="A135" s="246" t="s">
        <v>302</v>
      </c>
      <c r="B135" s="246" t="s">
        <v>303</v>
      </c>
      <c r="C135" s="247" t="s">
        <v>393</v>
      </c>
      <c r="D135" s="247" t="s">
        <v>304</v>
      </c>
      <c r="E135" s="248" t="s">
        <v>315</v>
      </c>
      <c r="F135" s="248" t="s">
        <v>306</v>
      </c>
      <c r="G135" s="612"/>
      <c r="H135" s="612"/>
      <c r="I135" s="612"/>
      <c r="J135" s="612"/>
    </row>
    <row r="136" spans="1:10" x14ac:dyDescent="0.25">
      <c r="A136" s="157">
        <v>1</v>
      </c>
      <c r="B136" s="182" t="s">
        <v>404</v>
      </c>
      <c r="C136" s="157" t="s">
        <v>318</v>
      </c>
      <c r="D136" s="163">
        <v>10</v>
      </c>
      <c r="E136" s="164">
        <v>260</v>
      </c>
      <c r="F136" s="164">
        <f t="shared" ref="F136:F141" si="8">PRODUCT(D136:E136)</f>
        <v>2600</v>
      </c>
      <c r="G136" s="612"/>
      <c r="H136" s="612"/>
      <c r="I136" s="612"/>
      <c r="J136" s="612"/>
    </row>
    <row r="137" spans="1:10" ht="30" x14ac:dyDescent="0.25">
      <c r="A137" s="157">
        <v>2</v>
      </c>
      <c r="B137" s="184" t="s">
        <v>438</v>
      </c>
      <c r="C137" s="163" t="s">
        <v>318</v>
      </c>
      <c r="D137" s="163">
        <v>10</v>
      </c>
      <c r="E137" s="164">
        <v>350</v>
      </c>
      <c r="F137" s="164">
        <f t="shared" si="8"/>
        <v>3500</v>
      </c>
      <c r="G137" s="612"/>
      <c r="H137" s="612"/>
      <c r="I137" s="612"/>
      <c r="J137" s="612"/>
    </row>
    <row r="138" spans="1:10" x14ac:dyDescent="0.25">
      <c r="A138" s="157">
        <v>3</v>
      </c>
      <c r="B138" s="183" t="s">
        <v>439</v>
      </c>
      <c r="C138" s="163" t="s">
        <v>318</v>
      </c>
      <c r="D138" s="163">
        <v>10</v>
      </c>
      <c r="E138" s="164">
        <v>300</v>
      </c>
      <c r="F138" s="164">
        <f t="shared" si="8"/>
        <v>3000</v>
      </c>
      <c r="G138" s="612"/>
      <c r="H138" s="612"/>
      <c r="I138" s="612"/>
      <c r="J138" s="612"/>
    </row>
    <row r="139" spans="1:10" x14ac:dyDescent="0.25">
      <c r="A139" s="157">
        <v>4</v>
      </c>
      <c r="B139" s="298" t="s">
        <v>440</v>
      </c>
      <c r="C139" s="157" t="s">
        <v>318</v>
      </c>
      <c r="D139" s="163">
        <v>10</v>
      </c>
      <c r="E139" s="164">
        <v>400</v>
      </c>
      <c r="F139" s="164">
        <f t="shared" si="8"/>
        <v>4000</v>
      </c>
      <c r="G139" s="612"/>
      <c r="H139" s="612"/>
      <c r="I139" s="612"/>
      <c r="J139" s="612"/>
    </row>
    <row r="140" spans="1:10" x14ac:dyDescent="0.25">
      <c r="A140" s="157">
        <v>5</v>
      </c>
      <c r="B140" s="299" t="s">
        <v>441</v>
      </c>
      <c r="C140" s="300" t="s">
        <v>318</v>
      </c>
      <c r="D140" s="300">
        <v>20</v>
      </c>
      <c r="E140" s="301">
        <v>65</v>
      </c>
      <c r="F140" s="164">
        <f t="shared" si="8"/>
        <v>1300</v>
      </c>
      <c r="G140" s="612"/>
      <c r="H140" s="612"/>
      <c r="I140" s="612"/>
      <c r="J140" s="612"/>
    </row>
    <row r="141" spans="1:10" x14ac:dyDescent="0.25">
      <c r="A141" s="157">
        <v>6</v>
      </c>
      <c r="B141" s="182" t="s">
        <v>405</v>
      </c>
      <c r="C141" s="157" t="s">
        <v>318</v>
      </c>
      <c r="D141" s="163">
        <v>20</v>
      </c>
      <c r="E141" s="164">
        <v>30</v>
      </c>
      <c r="F141" s="164">
        <f t="shared" si="8"/>
        <v>600</v>
      </c>
      <c r="G141" s="612"/>
      <c r="H141" s="612"/>
      <c r="I141" s="612"/>
      <c r="J141" s="612"/>
    </row>
    <row r="142" spans="1:10" x14ac:dyDescent="0.25">
      <c r="A142" s="196"/>
      <c r="B142" s="250"/>
      <c r="C142" s="193"/>
      <c r="D142" s="193"/>
      <c r="E142" s="192" t="s">
        <v>309</v>
      </c>
      <c r="F142" s="198">
        <f>SUM(F136:F141)</f>
        <v>15000</v>
      </c>
      <c r="G142" s="612"/>
      <c r="H142" s="612"/>
      <c r="I142" s="612"/>
      <c r="J142" s="612"/>
    </row>
  </sheetData>
  <mergeCells count="27">
    <mergeCell ref="A1:J1"/>
    <mergeCell ref="A2:J2"/>
    <mergeCell ref="G3:J3"/>
    <mergeCell ref="A4:J4"/>
    <mergeCell ref="A29:E29"/>
    <mergeCell ref="A36:J36"/>
    <mergeCell ref="A55:J55"/>
    <mergeCell ref="D61:F61"/>
    <mergeCell ref="G29:J29"/>
    <mergeCell ref="A65:J65"/>
    <mergeCell ref="A64:K64"/>
    <mergeCell ref="A30:J30"/>
    <mergeCell ref="A96:I96"/>
    <mergeCell ref="F97:I100"/>
    <mergeCell ref="A93:K93"/>
    <mergeCell ref="A94:J94"/>
    <mergeCell ref="A108:J108"/>
    <mergeCell ref="A106:L106"/>
    <mergeCell ref="D107:G107"/>
    <mergeCell ref="A134:J134"/>
    <mergeCell ref="B132:H132"/>
    <mergeCell ref="C133:G133"/>
    <mergeCell ref="G135:J142"/>
    <mergeCell ref="G109:J115"/>
    <mergeCell ref="A122:J122"/>
    <mergeCell ref="A123:F123"/>
    <mergeCell ref="A121:G12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18" sqref="F18"/>
    </sheetView>
  </sheetViews>
  <sheetFormatPr defaultRowHeight="15" x14ac:dyDescent="0.25"/>
  <cols>
    <col min="2" max="2" width="20.28515625" customWidth="1"/>
    <col min="5" max="5" width="17.5703125" customWidth="1"/>
    <col min="6" max="6" width="17.7109375" customWidth="1"/>
  </cols>
  <sheetData>
    <row r="1" spans="1:6" ht="57.75" customHeight="1" x14ac:dyDescent="0.3">
      <c r="A1" s="143" t="s">
        <v>254</v>
      </c>
      <c r="B1" s="143"/>
      <c r="C1" s="573" t="s">
        <v>444</v>
      </c>
      <c r="D1" s="573"/>
      <c r="E1" s="573"/>
      <c r="F1" s="573"/>
    </row>
    <row r="2" spans="1:6" ht="95.25" customHeight="1" x14ac:dyDescent="0.3">
      <c r="A2" s="236" t="s">
        <v>272</v>
      </c>
      <c r="B2" s="143"/>
      <c r="C2" s="567" t="s">
        <v>383</v>
      </c>
      <c r="D2" s="567"/>
      <c r="E2" s="567"/>
      <c r="F2" s="567"/>
    </row>
    <row r="3" spans="1:6" ht="56.25" customHeight="1" x14ac:dyDescent="0.3">
      <c r="A3" s="568" t="s">
        <v>274</v>
      </c>
      <c r="B3" s="568"/>
      <c r="C3" s="643" t="s">
        <v>275</v>
      </c>
      <c r="D3" s="643"/>
      <c r="E3" s="643"/>
      <c r="F3" s="643"/>
    </row>
    <row r="4" spans="1:6" ht="33" customHeight="1" x14ac:dyDescent="0.25"/>
    <row r="5" spans="1:6" x14ac:dyDescent="0.25">
      <c r="A5" s="570" t="s">
        <v>261</v>
      </c>
      <c r="B5" s="572" t="s">
        <v>153</v>
      </c>
      <c r="C5" s="572" t="s">
        <v>445</v>
      </c>
      <c r="D5" s="572" t="s">
        <v>446</v>
      </c>
      <c r="E5" s="572" t="s">
        <v>447</v>
      </c>
      <c r="F5" s="572" t="s">
        <v>387</v>
      </c>
    </row>
    <row r="6" spans="1:6" ht="43.5" customHeight="1" x14ac:dyDescent="0.25">
      <c r="A6" s="571"/>
      <c r="B6" s="572"/>
      <c r="C6" s="572"/>
      <c r="D6" s="572"/>
      <c r="E6" s="572"/>
      <c r="F6" s="572"/>
    </row>
    <row r="7" spans="1:6" ht="28.5" customHeight="1" x14ac:dyDescent="0.25">
      <c r="A7" s="304">
        <v>1</v>
      </c>
      <c r="B7" s="304">
        <v>2</v>
      </c>
      <c r="C7" s="304">
        <v>3</v>
      </c>
      <c r="D7" s="304">
        <v>4</v>
      </c>
      <c r="E7" s="304">
        <v>5</v>
      </c>
      <c r="F7" s="304">
        <v>6</v>
      </c>
    </row>
    <row r="8" spans="1:6" ht="36" customHeight="1" x14ac:dyDescent="0.25">
      <c r="A8" s="241">
        <v>1</v>
      </c>
      <c r="B8" s="241" t="s">
        <v>448</v>
      </c>
      <c r="C8" s="241">
        <v>1</v>
      </c>
      <c r="D8" s="305">
        <v>1</v>
      </c>
      <c r="E8" s="305">
        <v>290412.33</v>
      </c>
      <c r="F8" s="305">
        <v>29041.23</v>
      </c>
    </row>
    <row r="9" spans="1:6" x14ac:dyDescent="0.25">
      <c r="A9" s="569" t="s">
        <v>284</v>
      </c>
      <c r="B9" s="569"/>
      <c r="C9" s="241"/>
      <c r="D9" s="305"/>
      <c r="E9" s="305"/>
      <c r="F9" s="305">
        <f>SUM(F8:F8)</f>
        <v>29041.23</v>
      </c>
    </row>
    <row r="10" spans="1:6" x14ac:dyDescent="0.25">
      <c r="A10" s="234"/>
      <c r="B10" s="245"/>
      <c r="C10" s="245"/>
      <c r="D10" s="245"/>
      <c r="E10" s="245"/>
      <c r="F10" s="245"/>
    </row>
  </sheetData>
  <mergeCells count="11">
    <mergeCell ref="A9:B9"/>
    <mergeCell ref="C1:F1"/>
    <mergeCell ref="C3:F3"/>
    <mergeCell ref="C2:F2"/>
    <mergeCell ref="A3:B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4"/>
  <sheetViews>
    <sheetView topLeftCell="A49" workbookViewId="0">
      <selection activeCell="M69" sqref="M69"/>
    </sheetView>
  </sheetViews>
  <sheetFormatPr defaultRowHeight="15" x14ac:dyDescent="0.25"/>
  <cols>
    <col min="6" max="6" width="15.28515625" customWidth="1"/>
    <col min="9" max="9" width="10.140625" bestFit="1" customWidth="1"/>
    <col min="10" max="10" width="14" customWidth="1"/>
  </cols>
  <sheetData>
    <row r="2" spans="1:11" x14ac:dyDescent="0.25">
      <c r="A2" s="650" t="s">
        <v>490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</row>
    <row r="3" spans="1:11" x14ac:dyDescent="0.25">
      <c r="A3" s="331" t="s">
        <v>254</v>
      </c>
      <c r="B3" s="331"/>
      <c r="C3" s="331"/>
      <c r="D3" s="332"/>
      <c r="E3" s="332"/>
      <c r="F3" s="651" t="s">
        <v>491</v>
      </c>
      <c r="G3" s="651"/>
      <c r="H3" s="651"/>
      <c r="I3" s="651"/>
      <c r="J3" s="333"/>
      <c r="K3" s="331"/>
    </row>
    <row r="4" spans="1:11" x14ac:dyDescent="0.25">
      <c r="A4" s="331" t="s">
        <v>256</v>
      </c>
      <c r="B4" s="331"/>
      <c r="C4" s="331"/>
      <c r="D4" s="331"/>
      <c r="E4" s="331"/>
      <c r="F4" s="652" t="s">
        <v>492</v>
      </c>
      <c r="G4" s="652"/>
      <c r="H4" s="652"/>
      <c r="I4" s="652"/>
      <c r="J4" s="333"/>
      <c r="K4" s="331"/>
    </row>
    <row r="5" spans="1:11" x14ac:dyDescent="0.25">
      <c r="A5" s="653" t="s">
        <v>258</v>
      </c>
      <c r="B5" s="653"/>
      <c r="C5" s="653"/>
      <c r="D5" s="653"/>
      <c r="E5" s="653"/>
      <c r="F5" s="334" t="s">
        <v>259</v>
      </c>
      <c r="G5" s="334"/>
      <c r="H5" s="334"/>
      <c r="I5" s="334"/>
      <c r="J5" s="333"/>
      <c r="K5" s="331"/>
    </row>
    <row r="6" spans="1:11" x14ac:dyDescent="0.25">
      <c r="A6" s="331"/>
      <c r="B6" s="331"/>
      <c r="C6" s="331"/>
      <c r="D6" s="331"/>
      <c r="E6" s="331"/>
      <c r="F6" s="331"/>
      <c r="G6" s="331"/>
      <c r="H6" s="331" t="s">
        <v>493</v>
      </c>
      <c r="I6" s="331"/>
      <c r="J6" s="331"/>
      <c r="K6" s="331"/>
    </row>
    <row r="7" spans="1:11" ht="40.5" x14ac:dyDescent="0.25">
      <c r="A7" s="335" t="s">
        <v>261</v>
      </c>
      <c r="B7" s="654" t="s">
        <v>494</v>
      </c>
      <c r="C7" s="654"/>
      <c r="D7" s="654"/>
      <c r="E7" s="654"/>
      <c r="F7" s="336" t="s">
        <v>495</v>
      </c>
      <c r="G7" s="335" t="s">
        <v>496</v>
      </c>
      <c r="H7" s="335" t="s">
        <v>497</v>
      </c>
      <c r="I7" s="335" t="s">
        <v>498</v>
      </c>
      <c r="J7" s="335" t="s">
        <v>499</v>
      </c>
      <c r="K7" s="337"/>
    </row>
    <row r="8" spans="1:11" x14ac:dyDescent="0.25">
      <c r="A8" s="338">
        <v>1</v>
      </c>
      <c r="B8" s="644">
        <v>2</v>
      </c>
      <c r="C8" s="645"/>
      <c r="D8" s="645"/>
      <c r="E8" s="646"/>
      <c r="F8" s="339">
        <v>3</v>
      </c>
      <c r="G8" s="338">
        <v>4</v>
      </c>
      <c r="H8" s="338">
        <v>5</v>
      </c>
      <c r="I8" s="338">
        <v>6</v>
      </c>
      <c r="J8" s="338">
        <v>6</v>
      </c>
      <c r="K8" s="337"/>
    </row>
    <row r="9" spans="1:11" x14ac:dyDescent="0.25">
      <c r="A9" s="340">
        <v>1</v>
      </c>
      <c r="B9" s="647" t="s">
        <v>500</v>
      </c>
      <c r="C9" s="648"/>
      <c r="D9" s="648"/>
      <c r="E9" s="649"/>
      <c r="F9" s="341" t="s">
        <v>501</v>
      </c>
      <c r="G9" s="342">
        <v>1</v>
      </c>
      <c r="H9" s="342">
        <v>0</v>
      </c>
      <c r="I9" s="343">
        <v>15000</v>
      </c>
      <c r="J9" s="344">
        <v>15000</v>
      </c>
      <c r="K9" s="337"/>
    </row>
    <row r="10" spans="1:11" x14ac:dyDescent="0.25">
      <c r="A10" s="340">
        <v>2</v>
      </c>
      <c r="B10" s="647" t="s">
        <v>502</v>
      </c>
      <c r="C10" s="648"/>
      <c r="D10" s="648"/>
      <c r="E10" s="649"/>
      <c r="F10" s="341" t="s">
        <v>503</v>
      </c>
      <c r="G10" s="342">
        <v>1</v>
      </c>
      <c r="H10" s="342">
        <v>0</v>
      </c>
      <c r="I10" s="343">
        <v>40000</v>
      </c>
      <c r="J10" s="344">
        <v>40000</v>
      </c>
      <c r="K10" s="337"/>
    </row>
    <row r="11" spans="1:11" x14ac:dyDescent="0.25">
      <c r="A11" s="340">
        <v>3</v>
      </c>
      <c r="B11" s="655" t="s">
        <v>504</v>
      </c>
      <c r="C11" s="656"/>
      <c r="D11" s="656"/>
      <c r="E11" s="657"/>
      <c r="F11" s="341" t="s">
        <v>501</v>
      </c>
      <c r="G11" s="342">
        <v>1</v>
      </c>
      <c r="H11" s="342">
        <v>0</v>
      </c>
      <c r="I11" s="343">
        <v>15000</v>
      </c>
      <c r="J11" s="344">
        <v>15000</v>
      </c>
      <c r="K11" s="337"/>
    </row>
    <row r="12" spans="1:11" x14ac:dyDescent="0.25">
      <c r="A12" s="340">
        <v>4</v>
      </c>
      <c r="B12" s="655" t="s">
        <v>505</v>
      </c>
      <c r="C12" s="656"/>
      <c r="D12" s="656"/>
      <c r="E12" s="657"/>
      <c r="F12" s="341" t="s">
        <v>506</v>
      </c>
      <c r="G12" s="342">
        <v>1</v>
      </c>
      <c r="H12" s="342">
        <v>0</v>
      </c>
      <c r="I12" s="343">
        <v>30000</v>
      </c>
      <c r="J12" s="344">
        <v>30000</v>
      </c>
      <c r="K12" s="337"/>
    </row>
    <row r="13" spans="1:11" x14ac:dyDescent="0.25">
      <c r="A13" s="340">
        <v>5</v>
      </c>
      <c r="B13" s="655" t="s">
        <v>507</v>
      </c>
      <c r="C13" s="656"/>
      <c r="D13" s="656"/>
      <c r="E13" s="657"/>
      <c r="F13" s="341" t="s">
        <v>508</v>
      </c>
      <c r="G13" s="342">
        <v>1</v>
      </c>
      <c r="H13" s="342">
        <v>2</v>
      </c>
      <c r="I13" s="343">
        <v>60000</v>
      </c>
      <c r="J13" s="344">
        <v>60000</v>
      </c>
      <c r="K13" s="337"/>
    </row>
    <row r="14" spans="1:11" x14ac:dyDescent="0.25">
      <c r="A14" s="340">
        <v>6</v>
      </c>
      <c r="B14" s="655" t="s">
        <v>509</v>
      </c>
      <c r="C14" s="656"/>
      <c r="D14" s="656"/>
      <c r="E14" s="657"/>
      <c r="F14" s="341" t="s">
        <v>506</v>
      </c>
      <c r="G14" s="342">
        <v>1</v>
      </c>
      <c r="H14" s="342">
        <v>1</v>
      </c>
      <c r="I14" s="343">
        <v>40000</v>
      </c>
      <c r="J14" s="344">
        <v>40000</v>
      </c>
      <c r="K14" s="337"/>
    </row>
    <row r="15" spans="1:11" x14ac:dyDescent="0.25">
      <c r="A15" s="331"/>
      <c r="B15" s="331"/>
      <c r="C15" s="331"/>
      <c r="D15" s="331"/>
      <c r="E15" s="331"/>
      <c r="F15" s="331"/>
      <c r="G15" s="331"/>
      <c r="H15" s="331"/>
      <c r="I15" s="345" t="s">
        <v>266</v>
      </c>
      <c r="J15" s="346">
        <f>J9+J10+J11+J12+J13+J14</f>
        <v>200000</v>
      </c>
      <c r="K15" s="337"/>
    </row>
    <row r="17" spans="1:11" x14ac:dyDescent="0.25">
      <c r="C17" s="507" t="s">
        <v>510</v>
      </c>
      <c r="D17" s="507"/>
      <c r="E17" s="507"/>
      <c r="F17" s="507"/>
      <c r="G17" s="507"/>
      <c r="H17" s="507"/>
      <c r="I17" s="507"/>
    </row>
    <row r="18" spans="1:11" x14ac:dyDescent="0.25">
      <c r="C18" s="326"/>
      <c r="D18" s="326"/>
      <c r="E18" s="326"/>
      <c r="F18" s="326"/>
      <c r="G18" s="326"/>
      <c r="H18" s="326"/>
      <c r="I18" s="326"/>
    </row>
    <row r="19" spans="1:11" x14ac:dyDescent="0.25">
      <c r="E19" s="507" t="s">
        <v>511</v>
      </c>
      <c r="F19" s="507"/>
      <c r="G19" s="507"/>
      <c r="H19" s="507"/>
    </row>
    <row r="24" spans="1:11" x14ac:dyDescent="0.25">
      <c r="A24" s="650" t="s">
        <v>490</v>
      </c>
      <c r="B24" s="650"/>
      <c r="C24" s="650"/>
      <c r="D24" s="650"/>
      <c r="E24" s="650"/>
      <c r="F24" s="650"/>
      <c r="G24" s="650"/>
      <c r="H24" s="650"/>
      <c r="I24" s="650"/>
      <c r="J24" s="650"/>
      <c r="K24" s="650"/>
    </row>
    <row r="25" spans="1:11" x14ac:dyDescent="0.25">
      <c r="A25" s="331" t="s">
        <v>254</v>
      </c>
      <c r="B25" s="331"/>
      <c r="C25" s="331"/>
      <c r="D25" s="332"/>
      <c r="E25" s="332"/>
      <c r="F25" s="651" t="s">
        <v>515</v>
      </c>
      <c r="G25" s="651"/>
      <c r="H25" s="651"/>
      <c r="I25" s="651"/>
      <c r="J25" s="333"/>
      <c r="K25" s="331"/>
    </row>
    <row r="26" spans="1:11" x14ac:dyDescent="0.25">
      <c r="A26" s="331" t="s">
        <v>256</v>
      </c>
      <c r="B26" s="331"/>
      <c r="C26" s="331"/>
      <c r="D26" s="331"/>
      <c r="E26" s="331"/>
      <c r="F26" s="652" t="s">
        <v>492</v>
      </c>
      <c r="G26" s="652"/>
      <c r="H26" s="652"/>
      <c r="I26" s="652"/>
      <c r="J26" s="333"/>
      <c r="K26" s="331"/>
    </row>
    <row r="27" spans="1:11" x14ac:dyDescent="0.25">
      <c r="A27" s="653" t="s">
        <v>258</v>
      </c>
      <c r="B27" s="653"/>
      <c r="C27" s="653"/>
      <c r="D27" s="653"/>
      <c r="E27" s="653"/>
      <c r="F27" s="334" t="s">
        <v>518</v>
      </c>
      <c r="G27" s="334"/>
      <c r="H27" s="334"/>
      <c r="I27" s="334"/>
      <c r="J27" s="333"/>
      <c r="K27" s="331"/>
    </row>
    <row r="28" spans="1:11" x14ac:dyDescent="0.25">
      <c r="A28" s="331"/>
      <c r="B28" s="331"/>
      <c r="C28" s="331"/>
      <c r="D28" s="331"/>
      <c r="E28" s="331"/>
      <c r="F28" s="331"/>
      <c r="G28" s="331"/>
      <c r="H28" s="331" t="s">
        <v>493</v>
      </c>
      <c r="I28" s="331"/>
      <c r="J28" s="331"/>
      <c r="K28" s="331"/>
    </row>
    <row r="29" spans="1:11" ht="40.5" x14ac:dyDescent="0.25">
      <c r="A29" s="335" t="s">
        <v>261</v>
      </c>
      <c r="B29" s="654" t="s">
        <v>494</v>
      </c>
      <c r="C29" s="654"/>
      <c r="D29" s="654"/>
      <c r="E29" s="654"/>
      <c r="F29" s="336" t="s">
        <v>495</v>
      </c>
      <c r="G29" s="335" t="s">
        <v>496</v>
      </c>
      <c r="H29" s="335" t="s">
        <v>497</v>
      </c>
      <c r="I29" s="335" t="s">
        <v>498</v>
      </c>
      <c r="J29" s="335" t="s">
        <v>499</v>
      </c>
      <c r="K29" s="337"/>
    </row>
    <row r="30" spans="1:11" x14ac:dyDescent="0.25">
      <c r="A30" s="338">
        <v>1</v>
      </c>
      <c r="B30" s="644">
        <v>2</v>
      </c>
      <c r="C30" s="645"/>
      <c r="D30" s="645"/>
      <c r="E30" s="646"/>
      <c r="F30" s="339">
        <v>3</v>
      </c>
      <c r="G30" s="338">
        <v>4</v>
      </c>
      <c r="H30" s="338">
        <v>5</v>
      </c>
      <c r="I30" s="338">
        <v>6</v>
      </c>
      <c r="J30" s="338">
        <v>6</v>
      </c>
      <c r="K30" s="337"/>
    </row>
    <row r="31" spans="1:11" ht="110.25" customHeight="1" x14ac:dyDescent="0.25">
      <c r="A31" s="340">
        <v>1</v>
      </c>
      <c r="B31" s="647" t="s">
        <v>512</v>
      </c>
      <c r="C31" s="648"/>
      <c r="D31" s="648"/>
      <c r="E31" s="649"/>
      <c r="F31" s="336" t="s">
        <v>517</v>
      </c>
      <c r="G31" s="342">
        <v>1</v>
      </c>
      <c r="H31" s="342">
        <v>0</v>
      </c>
      <c r="I31" s="343">
        <f>J31</f>
        <v>100000</v>
      </c>
      <c r="J31" s="344">
        <v>100000</v>
      </c>
      <c r="K31" s="337"/>
    </row>
    <row r="32" spans="1:11" ht="108" x14ac:dyDescent="0.25">
      <c r="A32" s="340">
        <v>2</v>
      </c>
      <c r="B32" s="647" t="s">
        <v>513</v>
      </c>
      <c r="C32" s="648"/>
      <c r="D32" s="648"/>
      <c r="E32" s="649"/>
      <c r="F32" s="336" t="s">
        <v>517</v>
      </c>
      <c r="G32" s="342">
        <v>1</v>
      </c>
      <c r="H32" s="342">
        <v>0</v>
      </c>
      <c r="I32" s="343">
        <v>50000</v>
      </c>
      <c r="J32" s="344">
        <f>I32</f>
        <v>50000</v>
      </c>
      <c r="K32" s="337"/>
    </row>
    <row r="33" spans="1:11" ht="108" x14ac:dyDescent="0.25">
      <c r="A33" s="340">
        <v>3</v>
      </c>
      <c r="B33" s="655" t="s">
        <v>514</v>
      </c>
      <c r="C33" s="656"/>
      <c r="D33" s="656"/>
      <c r="E33" s="657"/>
      <c r="F33" s="336" t="s">
        <v>517</v>
      </c>
      <c r="G33" s="342">
        <v>1</v>
      </c>
      <c r="H33" s="342">
        <v>0</v>
      </c>
      <c r="I33" s="343">
        <f>J33</f>
        <v>100000</v>
      </c>
      <c r="J33" s="344">
        <v>100000</v>
      </c>
      <c r="K33" s="337"/>
    </row>
    <row r="34" spans="1:11" x14ac:dyDescent="0.25">
      <c r="A34" s="331"/>
      <c r="B34" s="331"/>
      <c r="C34" s="331"/>
      <c r="D34" s="331"/>
      <c r="E34" s="331"/>
      <c r="F34" s="331"/>
      <c r="G34" s="331"/>
      <c r="H34" s="331"/>
      <c r="I34" s="345" t="s">
        <v>266</v>
      </c>
      <c r="J34" s="346">
        <f>J31+J32+J33</f>
        <v>250000</v>
      </c>
      <c r="K34" s="337"/>
    </row>
    <row r="36" spans="1:11" x14ac:dyDescent="0.25">
      <c r="C36" s="507" t="s">
        <v>510</v>
      </c>
      <c r="D36" s="507"/>
      <c r="E36" s="507"/>
      <c r="F36" s="507"/>
      <c r="G36" s="507"/>
      <c r="H36" s="507"/>
      <c r="I36" s="507"/>
    </row>
    <row r="37" spans="1:11" x14ac:dyDescent="0.25">
      <c r="C37" s="326"/>
      <c r="D37" s="326"/>
      <c r="E37" s="326"/>
      <c r="F37" s="326"/>
      <c r="G37" s="326"/>
      <c r="H37" s="326"/>
      <c r="I37" s="326"/>
    </row>
    <row r="38" spans="1:11" x14ac:dyDescent="0.25">
      <c r="E38" s="507" t="s">
        <v>516</v>
      </c>
      <c r="F38" s="507"/>
      <c r="G38" s="507"/>
      <c r="H38" s="507"/>
    </row>
    <row r="45" spans="1:11" x14ac:dyDescent="0.25">
      <c r="A45" s="650" t="s">
        <v>490</v>
      </c>
      <c r="B45" s="650"/>
      <c r="C45" s="650"/>
      <c r="D45" s="650"/>
      <c r="E45" s="650"/>
      <c r="F45" s="650"/>
      <c r="G45" s="650"/>
      <c r="H45" s="650"/>
      <c r="I45" s="650"/>
      <c r="J45" s="650"/>
      <c r="K45" s="650"/>
    </row>
    <row r="46" spans="1:11" x14ac:dyDescent="0.25">
      <c r="A46" s="331" t="s">
        <v>254</v>
      </c>
      <c r="B46" s="331"/>
      <c r="C46" s="331"/>
      <c r="D46" s="332"/>
      <c r="E46" s="332"/>
      <c r="F46" s="651" t="s">
        <v>491</v>
      </c>
      <c r="G46" s="651"/>
      <c r="H46" s="651"/>
      <c r="I46" s="651"/>
      <c r="J46" s="333"/>
      <c r="K46" s="331"/>
    </row>
    <row r="47" spans="1:11" x14ac:dyDescent="0.25">
      <c r="A47" s="331" t="s">
        <v>256</v>
      </c>
      <c r="B47" s="331"/>
      <c r="C47" s="331"/>
      <c r="D47" s="331"/>
      <c r="E47" s="331"/>
      <c r="F47" s="652" t="s">
        <v>492</v>
      </c>
      <c r="G47" s="652"/>
      <c r="H47" s="652"/>
      <c r="I47" s="652"/>
      <c r="J47" s="333"/>
      <c r="K47" s="331"/>
    </row>
    <row r="48" spans="1:11" x14ac:dyDescent="0.25">
      <c r="A48" s="653" t="s">
        <v>258</v>
      </c>
      <c r="B48" s="653"/>
      <c r="C48" s="653"/>
      <c r="D48" s="653"/>
      <c r="E48" s="653"/>
      <c r="F48" s="334" t="s">
        <v>259</v>
      </c>
      <c r="G48" s="334"/>
      <c r="H48" s="334"/>
      <c r="I48" s="334"/>
      <c r="J48" s="333"/>
      <c r="K48" s="331"/>
    </row>
    <row r="49" spans="1:11" x14ac:dyDescent="0.25">
      <c r="A49" s="331"/>
      <c r="B49" s="331"/>
      <c r="C49" s="331"/>
      <c r="D49" s="331"/>
      <c r="E49" s="331"/>
      <c r="F49" s="331"/>
      <c r="G49" s="331"/>
      <c r="H49" s="331" t="s">
        <v>493</v>
      </c>
      <c r="I49" s="331"/>
      <c r="J49" s="331"/>
      <c r="K49" s="331"/>
    </row>
    <row r="50" spans="1:11" ht="40.5" x14ac:dyDescent="0.25">
      <c r="A50" s="335" t="s">
        <v>261</v>
      </c>
      <c r="B50" s="654" t="s">
        <v>494</v>
      </c>
      <c r="C50" s="654"/>
      <c r="D50" s="654"/>
      <c r="E50" s="654"/>
      <c r="F50" s="336" t="s">
        <v>495</v>
      </c>
      <c r="G50" s="335" t="s">
        <v>496</v>
      </c>
      <c r="H50" s="335" t="s">
        <v>497</v>
      </c>
      <c r="I50" s="335" t="s">
        <v>498</v>
      </c>
      <c r="J50" s="335" t="s">
        <v>499</v>
      </c>
      <c r="K50" s="337"/>
    </row>
    <row r="51" spans="1:11" x14ac:dyDescent="0.25">
      <c r="A51" s="338">
        <v>1</v>
      </c>
      <c r="B51" s="644">
        <v>2</v>
      </c>
      <c r="C51" s="645"/>
      <c r="D51" s="645"/>
      <c r="E51" s="646"/>
      <c r="F51" s="339">
        <v>3</v>
      </c>
      <c r="G51" s="338">
        <v>4</v>
      </c>
      <c r="H51" s="338">
        <v>5</v>
      </c>
      <c r="I51" s="338">
        <v>6</v>
      </c>
      <c r="J51" s="338">
        <v>6</v>
      </c>
      <c r="K51" s="337"/>
    </row>
    <row r="52" spans="1:11" x14ac:dyDescent="0.25">
      <c r="A52" s="340">
        <v>1</v>
      </c>
      <c r="B52" s="647" t="s">
        <v>519</v>
      </c>
      <c r="C52" s="648"/>
      <c r="D52" s="648"/>
      <c r="E52" s="649"/>
      <c r="F52" s="341" t="s">
        <v>501</v>
      </c>
      <c r="G52" s="342">
        <v>1</v>
      </c>
      <c r="H52" s="342">
        <v>0</v>
      </c>
      <c r="I52" s="343">
        <v>15000</v>
      </c>
      <c r="J52" s="344">
        <v>15000</v>
      </c>
      <c r="K52" s="337"/>
    </row>
    <row r="53" spans="1:11" x14ac:dyDescent="0.25">
      <c r="A53" s="340">
        <v>2</v>
      </c>
      <c r="B53" s="647" t="s">
        <v>520</v>
      </c>
      <c r="C53" s="648"/>
      <c r="D53" s="648"/>
      <c r="E53" s="649"/>
      <c r="F53" s="341" t="s">
        <v>503</v>
      </c>
      <c r="G53" s="342">
        <v>1</v>
      </c>
      <c r="H53" s="342">
        <v>0</v>
      </c>
      <c r="I53" s="343">
        <v>40000</v>
      </c>
      <c r="J53" s="344">
        <v>40000</v>
      </c>
      <c r="K53" s="337"/>
    </row>
    <row r="54" spans="1:11" x14ac:dyDescent="0.25">
      <c r="A54" s="340">
        <v>3</v>
      </c>
      <c r="B54" s="655" t="s">
        <v>521</v>
      </c>
      <c r="C54" s="656"/>
      <c r="D54" s="656"/>
      <c r="E54" s="657"/>
      <c r="F54" s="341" t="s">
        <v>501</v>
      </c>
      <c r="G54" s="342">
        <v>1</v>
      </c>
      <c r="H54" s="342">
        <v>0</v>
      </c>
      <c r="I54" s="343">
        <v>15000</v>
      </c>
      <c r="J54" s="344">
        <v>15000</v>
      </c>
      <c r="K54" s="337"/>
    </row>
    <row r="55" spans="1:11" x14ac:dyDescent="0.25">
      <c r="A55" s="331"/>
      <c r="B55" s="331"/>
      <c r="C55" s="331"/>
      <c r="D55" s="331"/>
      <c r="E55" s="331"/>
      <c r="F55" s="331"/>
      <c r="G55" s="331"/>
      <c r="H55" s="331"/>
      <c r="I55" s="345" t="s">
        <v>266</v>
      </c>
      <c r="J55" s="346">
        <f>J52+J53+J54</f>
        <v>70000</v>
      </c>
      <c r="K55" s="337"/>
    </row>
    <row r="57" spans="1:11" x14ac:dyDescent="0.25">
      <c r="C57" s="507" t="s">
        <v>510</v>
      </c>
      <c r="D57" s="507"/>
      <c r="E57" s="507"/>
      <c r="F57" s="507"/>
      <c r="G57" s="507"/>
      <c r="H57" s="507"/>
      <c r="I57" s="507"/>
    </row>
    <row r="58" spans="1:11" x14ac:dyDescent="0.25">
      <c r="C58" s="326"/>
      <c r="D58" s="326"/>
      <c r="E58" s="326"/>
      <c r="F58" s="326"/>
      <c r="G58" s="326"/>
      <c r="H58" s="326"/>
      <c r="I58" s="326"/>
    </row>
    <row r="59" spans="1:11" x14ac:dyDescent="0.25">
      <c r="E59" s="507" t="s">
        <v>511</v>
      </c>
      <c r="F59" s="507"/>
      <c r="G59" s="507"/>
      <c r="H59" s="507"/>
    </row>
    <row r="62" spans="1:11" ht="33.75" customHeight="1" x14ac:dyDescent="0.25">
      <c r="A62" s="650" t="s">
        <v>524</v>
      </c>
      <c r="B62" s="650"/>
      <c r="C62" s="650"/>
      <c r="D62" s="650"/>
      <c r="E62" s="650"/>
      <c r="F62" s="650"/>
      <c r="G62" s="650"/>
      <c r="H62" s="650"/>
      <c r="I62" s="650"/>
      <c r="J62" s="650"/>
      <c r="K62" s="650"/>
    </row>
    <row r="63" spans="1:11" x14ac:dyDescent="0.25">
      <c r="A63" s="331" t="s">
        <v>254</v>
      </c>
      <c r="B63" s="331"/>
      <c r="C63" s="331"/>
      <c r="D63" s="332"/>
      <c r="E63" s="332"/>
      <c r="F63" s="651" t="s">
        <v>522</v>
      </c>
      <c r="G63" s="651"/>
      <c r="H63" s="651"/>
      <c r="I63" s="651"/>
      <c r="J63" s="333"/>
      <c r="K63" s="331"/>
    </row>
    <row r="64" spans="1:11" x14ac:dyDescent="0.25">
      <c r="A64" s="331" t="s">
        <v>256</v>
      </c>
      <c r="B64" s="331"/>
      <c r="C64" s="331"/>
      <c r="D64" s="331"/>
      <c r="E64" s="331"/>
      <c r="F64" s="652" t="s">
        <v>492</v>
      </c>
      <c r="G64" s="652"/>
      <c r="H64" s="652"/>
      <c r="I64" s="652"/>
      <c r="J64" s="333"/>
      <c r="K64" s="331"/>
    </row>
    <row r="65" spans="1:11" x14ac:dyDescent="0.25">
      <c r="A65" s="653" t="s">
        <v>258</v>
      </c>
      <c r="B65" s="653"/>
      <c r="C65" s="653"/>
      <c r="D65" s="653"/>
      <c r="E65" s="653"/>
      <c r="F65" s="334" t="s">
        <v>518</v>
      </c>
      <c r="G65" s="334"/>
      <c r="H65" s="334"/>
      <c r="I65" s="334"/>
      <c r="J65" s="333"/>
      <c r="K65" s="331"/>
    </row>
    <row r="66" spans="1:11" x14ac:dyDescent="0.25">
      <c r="A66" s="331"/>
      <c r="B66" s="331"/>
      <c r="C66" s="331"/>
      <c r="D66" s="331"/>
      <c r="E66" s="331"/>
      <c r="F66" s="331"/>
      <c r="G66" s="331"/>
      <c r="H66" s="331" t="s">
        <v>493</v>
      </c>
      <c r="I66" s="331"/>
      <c r="J66" s="331"/>
      <c r="K66" s="331"/>
    </row>
    <row r="67" spans="1:11" ht="40.5" x14ac:dyDescent="0.25">
      <c r="A67" s="335" t="s">
        <v>261</v>
      </c>
      <c r="B67" s="654" t="s">
        <v>494</v>
      </c>
      <c r="C67" s="654"/>
      <c r="D67" s="654"/>
      <c r="E67" s="654"/>
      <c r="F67" s="336" t="s">
        <v>495</v>
      </c>
      <c r="G67" s="335" t="s">
        <v>496</v>
      </c>
      <c r="H67" s="335" t="s">
        <v>497</v>
      </c>
      <c r="I67" s="335" t="s">
        <v>498</v>
      </c>
      <c r="J67" s="335" t="s">
        <v>499</v>
      </c>
      <c r="K67" s="337"/>
    </row>
    <row r="68" spans="1:11" x14ac:dyDescent="0.25">
      <c r="A68" s="338">
        <v>1</v>
      </c>
      <c r="B68" s="644">
        <v>2</v>
      </c>
      <c r="C68" s="645"/>
      <c r="D68" s="645"/>
      <c r="E68" s="646"/>
      <c r="F68" s="339">
        <v>3</v>
      </c>
      <c r="G68" s="338">
        <v>4</v>
      </c>
      <c r="H68" s="338">
        <v>5</v>
      </c>
      <c r="I68" s="338">
        <v>6</v>
      </c>
      <c r="J68" s="338">
        <v>6</v>
      </c>
      <c r="K68" s="337"/>
    </row>
    <row r="69" spans="1:11" ht="108" x14ac:dyDescent="0.25">
      <c r="A69" s="340">
        <v>1</v>
      </c>
      <c r="B69" s="647" t="s">
        <v>523</v>
      </c>
      <c r="C69" s="648"/>
      <c r="D69" s="648"/>
      <c r="E69" s="649"/>
      <c r="F69" s="336" t="s">
        <v>517</v>
      </c>
      <c r="G69" s="342">
        <v>1</v>
      </c>
      <c r="H69" s="342">
        <v>0</v>
      </c>
      <c r="I69" s="343">
        <f>J69</f>
        <v>100000</v>
      </c>
      <c r="J69" s="344">
        <v>100000</v>
      </c>
      <c r="K69" s="337"/>
    </row>
    <row r="70" spans="1:11" x14ac:dyDescent="0.25">
      <c r="A70" s="331"/>
      <c r="B70" s="331"/>
      <c r="C70" s="331"/>
      <c r="D70" s="331"/>
      <c r="E70" s="331"/>
      <c r="F70" s="331"/>
      <c r="G70" s="331"/>
      <c r="H70" s="331"/>
      <c r="I70" s="345" t="s">
        <v>266</v>
      </c>
      <c r="J70" s="346">
        <f>J69</f>
        <v>100000</v>
      </c>
      <c r="K70" s="337"/>
    </row>
    <row r="72" spans="1:11" x14ac:dyDescent="0.25">
      <c r="C72" s="507" t="s">
        <v>510</v>
      </c>
      <c r="D72" s="507"/>
      <c r="E72" s="507"/>
      <c r="F72" s="507"/>
      <c r="G72" s="507"/>
      <c r="H72" s="507"/>
      <c r="I72" s="507"/>
    </row>
    <row r="73" spans="1:11" x14ac:dyDescent="0.25">
      <c r="C73" s="326"/>
      <c r="D73" s="326"/>
      <c r="E73" s="326"/>
      <c r="F73" s="326"/>
      <c r="G73" s="326"/>
      <c r="H73" s="326"/>
      <c r="I73" s="326"/>
    </row>
    <row r="74" spans="1:11" x14ac:dyDescent="0.25">
      <c r="E74" s="507" t="s">
        <v>516</v>
      </c>
      <c r="F74" s="507"/>
      <c r="G74" s="507"/>
      <c r="H74" s="507"/>
    </row>
  </sheetData>
  <mergeCells count="45">
    <mergeCell ref="B8:E8"/>
    <mergeCell ref="A2:K2"/>
    <mergeCell ref="F3:I3"/>
    <mergeCell ref="F4:I4"/>
    <mergeCell ref="A5:E5"/>
    <mergeCell ref="B7:E7"/>
    <mergeCell ref="C17:I17"/>
    <mergeCell ref="E19:H19"/>
    <mergeCell ref="B9:E9"/>
    <mergeCell ref="B10:E10"/>
    <mergeCell ref="B11:E11"/>
    <mergeCell ref="B12:E12"/>
    <mergeCell ref="B13:E13"/>
    <mergeCell ref="B14:E14"/>
    <mergeCell ref="B31:E31"/>
    <mergeCell ref="B32:E32"/>
    <mergeCell ref="B33:E33"/>
    <mergeCell ref="A24:K24"/>
    <mergeCell ref="F25:I25"/>
    <mergeCell ref="F26:I26"/>
    <mergeCell ref="A27:E27"/>
    <mergeCell ref="B29:E29"/>
    <mergeCell ref="B30:E30"/>
    <mergeCell ref="C57:I57"/>
    <mergeCell ref="C36:I36"/>
    <mergeCell ref="E38:H38"/>
    <mergeCell ref="A45:K45"/>
    <mergeCell ref="F46:I46"/>
    <mergeCell ref="F47:I47"/>
    <mergeCell ref="A48:E48"/>
    <mergeCell ref="B50:E50"/>
    <mergeCell ref="B51:E51"/>
    <mergeCell ref="B52:E52"/>
    <mergeCell ref="B53:E53"/>
    <mergeCell ref="B54:E54"/>
    <mergeCell ref="B68:E68"/>
    <mergeCell ref="B69:E69"/>
    <mergeCell ref="C72:I72"/>
    <mergeCell ref="E74:H74"/>
    <mergeCell ref="E59:H59"/>
    <mergeCell ref="A62:K62"/>
    <mergeCell ref="F63:I63"/>
    <mergeCell ref="F64:I64"/>
    <mergeCell ref="A65:E65"/>
    <mergeCell ref="B67:E6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workbookViewId="0">
      <selection activeCell="M38" sqref="M38"/>
    </sheetView>
  </sheetViews>
  <sheetFormatPr defaultRowHeight="15" x14ac:dyDescent="0.25"/>
  <cols>
    <col min="9" max="9" width="14.28515625" customWidth="1"/>
    <col min="10" max="10" width="15.42578125" customWidth="1"/>
  </cols>
  <sheetData>
    <row r="2" spans="1:13" x14ac:dyDescent="0.25">
      <c r="A2" s="328"/>
      <c r="B2" s="328"/>
      <c r="C2" s="328"/>
      <c r="D2" s="328"/>
      <c r="E2" s="582" t="s">
        <v>253</v>
      </c>
      <c r="F2" s="582"/>
      <c r="G2" s="582"/>
      <c r="H2" s="582"/>
      <c r="I2" s="582"/>
      <c r="J2" s="582"/>
      <c r="K2" s="582"/>
      <c r="L2" s="582"/>
      <c r="M2" s="582"/>
    </row>
    <row r="3" spans="1:13" x14ac:dyDescent="0.25">
      <c r="A3" s="328" t="s">
        <v>254</v>
      </c>
      <c r="B3" s="328"/>
      <c r="C3" s="328"/>
      <c r="D3" s="328"/>
      <c r="E3" s="127"/>
      <c r="F3" s="127"/>
      <c r="G3" s="583" t="s">
        <v>525</v>
      </c>
      <c r="H3" s="583"/>
      <c r="I3" s="583"/>
      <c r="J3" s="583"/>
      <c r="K3" s="128"/>
      <c r="L3" s="128"/>
      <c r="M3" s="328"/>
    </row>
    <row r="4" spans="1:13" x14ac:dyDescent="0.25">
      <c r="A4" s="328" t="s">
        <v>256</v>
      </c>
      <c r="B4" s="328"/>
      <c r="C4" s="328"/>
      <c r="D4" s="328"/>
      <c r="E4" s="328"/>
      <c r="F4" s="328"/>
      <c r="G4" s="584" t="s">
        <v>526</v>
      </c>
      <c r="H4" s="584"/>
      <c r="I4" s="584"/>
      <c r="J4" s="584"/>
      <c r="K4" s="128"/>
      <c r="L4" s="128"/>
      <c r="M4" s="328"/>
    </row>
    <row r="5" spans="1:13" x14ac:dyDescent="0.25">
      <c r="A5" s="585" t="s">
        <v>258</v>
      </c>
      <c r="B5" s="585"/>
      <c r="C5" s="585"/>
      <c r="D5" s="585"/>
      <c r="E5" s="585"/>
      <c r="F5" s="585"/>
      <c r="G5" s="327" t="s">
        <v>259</v>
      </c>
      <c r="H5" s="327"/>
      <c r="I5" s="327"/>
      <c r="J5" s="327"/>
      <c r="K5" s="128"/>
      <c r="L5" s="128"/>
      <c r="M5" s="328"/>
    </row>
    <row r="6" spans="1:13" x14ac:dyDescent="0.25">
      <c r="A6" s="328"/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</row>
    <row r="7" spans="1:13" ht="27" customHeight="1" x14ac:dyDescent="0.25">
      <c r="A7" s="329" t="s">
        <v>261</v>
      </c>
      <c r="B7" s="658" t="s">
        <v>153</v>
      </c>
      <c r="C7" s="659"/>
      <c r="D7" s="659"/>
      <c r="E7" s="659"/>
      <c r="F7" s="659"/>
      <c r="G7" s="660"/>
      <c r="H7" s="658" t="s">
        <v>59</v>
      </c>
      <c r="I7" s="659"/>
      <c r="J7" s="660"/>
      <c r="K7" s="132"/>
      <c r="L7" s="132"/>
      <c r="M7" s="132"/>
    </row>
    <row r="8" spans="1:13" x14ac:dyDescent="0.25">
      <c r="A8" s="661" t="s">
        <v>527</v>
      </c>
      <c r="B8" s="663" t="s">
        <v>528</v>
      </c>
      <c r="C8" s="664"/>
      <c r="D8" s="664"/>
      <c r="E8" s="664"/>
      <c r="F8" s="664"/>
      <c r="G8" s="665"/>
      <c r="H8" s="669">
        <v>59800</v>
      </c>
      <c r="I8" s="670"/>
      <c r="J8" s="671"/>
      <c r="K8" s="138"/>
      <c r="L8" s="138"/>
      <c r="M8" s="139"/>
    </row>
    <row r="9" spans="1:13" x14ac:dyDescent="0.25">
      <c r="A9" s="662"/>
      <c r="B9" s="666"/>
      <c r="C9" s="667"/>
      <c r="D9" s="667"/>
      <c r="E9" s="667"/>
      <c r="F9" s="667"/>
      <c r="G9" s="668"/>
      <c r="H9" s="672"/>
      <c r="I9" s="673"/>
      <c r="J9" s="674"/>
      <c r="K9" s="138"/>
      <c r="L9" s="138"/>
      <c r="M9" s="139"/>
    </row>
    <row r="11" spans="1:13" x14ac:dyDescent="0.25">
      <c r="C11" s="507" t="s">
        <v>267</v>
      </c>
      <c r="D11" s="507"/>
      <c r="E11" s="507"/>
      <c r="F11" s="507"/>
      <c r="G11" s="507"/>
      <c r="H11" s="507"/>
      <c r="I11" s="507"/>
      <c r="J11" s="507"/>
    </row>
    <row r="13" spans="1:13" x14ac:dyDescent="0.25">
      <c r="D13" s="507" t="s">
        <v>268</v>
      </c>
      <c r="E13" s="507"/>
      <c r="F13" s="507"/>
      <c r="G13" s="507"/>
      <c r="H13" s="507"/>
      <c r="I13" s="507"/>
      <c r="J13" s="507"/>
    </row>
  </sheetData>
  <mergeCells count="11">
    <mergeCell ref="E2:M2"/>
    <mergeCell ref="G3:J3"/>
    <mergeCell ref="G4:J4"/>
    <mergeCell ref="A5:F5"/>
    <mergeCell ref="B7:G7"/>
    <mergeCell ref="C11:J11"/>
    <mergeCell ref="D13:J13"/>
    <mergeCell ref="H7:J7"/>
    <mergeCell ref="A8:A9"/>
    <mergeCell ref="B8:G9"/>
    <mergeCell ref="H8:J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workbookViewId="0">
      <selection activeCell="E6" sqref="E6"/>
    </sheetView>
  </sheetViews>
  <sheetFormatPr defaultRowHeight="15" x14ac:dyDescent="0.25"/>
  <cols>
    <col min="2" max="2" width="16.85546875" customWidth="1"/>
    <col min="3" max="3" width="14.5703125" customWidth="1"/>
    <col min="4" max="4" width="16.140625" customWidth="1"/>
    <col min="5" max="5" width="21.42578125" customWidth="1"/>
    <col min="6" max="6" width="19.42578125" customWidth="1"/>
  </cols>
  <sheetData>
    <row r="2" spans="1:13" ht="84.75" customHeight="1" x14ac:dyDescent="0.25">
      <c r="A2" s="675" t="s">
        <v>538</v>
      </c>
      <c r="B2" s="675"/>
      <c r="C2" s="675"/>
      <c r="D2" s="675"/>
      <c r="E2" s="675"/>
      <c r="F2" s="675"/>
      <c r="G2" s="80"/>
      <c r="H2" s="80"/>
      <c r="I2" s="80"/>
      <c r="J2" s="80"/>
      <c r="K2" s="80"/>
      <c r="L2" s="80"/>
      <c r="M2" s="80"/>
    </row>
    <row r="3" spans="1:13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</row>
    <row r="4" spans="1:13" ht="63" x14ac:dyDescent="0.25">
      <c r="A4" s="93" t="s">
        <v>539</v>
      </c>
      <c r="B4" s="93" t="s">
        <v>540</v>
      </c>
      <c r="C4" s="93" t="s">
        <v>462</v>
      </c>
      <c r="D4" s="93" t="s">
        <v>541</v>
      </c>
      <c r="E4" s="93" t="s">
        <v>542</v>
      </c>
      <c r="F4" s="93" t="s">
        <v>543</v>
      </c>
      <c r="G4" s="353"/>
      <c r="H4" s="353"/>
      <c r="I4" s="353"/>
      <c r="J4" s="353"/>
      <c r="K4" s="353"/>
      <c r="L4" s="353"/>
    </row>
    <row r="5" spans="1:13" ht="63" x14ac:dyDescent="0.25">
      <c r="A5" s="93" t="s">
        <v>551</v>
      </c>
      <c r="B5" s="93" t="s">
        <v>544</v>
      </c>
      <c r="C5" s="93">
        <v>2</v>
      </c>
      <c r="D5" s="93" t="s">
        <v>545</v>
      </c>
      <c r="E5" s="354">
        <v>8000</v>
      </c>
      <c r="F5" s="354">
        <f t="shared" ref="F5:F7" si="0">E5*C5</f>
        <v>16000</v>
      </c>
      <c r="G5" s="104"/>
      <c r="H5" s="104"/>
      <c r="I5" s="104"/>
      <c r="J5" s="104"/>
      <c r="K5" s="104"/>
      <c r="L5" s="104"/>
    </row>
    <row r="6" spans="1:13" ht="60" x14ac:dyDescent="0.25">
      <c r="A6" s="93" t="s">
        <v>551</v>
      </c>
      <c r="B6" s="355" t="s">
        <v>546</v>
      </c>
      <c r="C6" s="356">
        <v>2</v>
      </c>
      <c r="D6" s="93" t="s">
        <v>545</v>
      </c>
      <c r="E6" s="354">
        <v>8000</v>
      </c>
      <c r="F6" s="354">
        <f t="shared" si="0"/>
        <v>16000</v>
      </c>
    </row>
    <row r="7" spans="1:13" ht="75" x14ac:dyDescent="0.25">
      <c r="A7" s="93" t="s">
        <v>551</v>
      </c>
      <c r="B7" s="355" t="s">
        <v>547</v>
      </c>
      <c r="C7" s="356">
        <v>2</v>
      </c>
      <c r="D7" s="93" t="s">
        <v>548</v>
      </c>
      <c r="E7" s="354">
        <v>6000</v>
      </c>
      <c r="F7" s="354">
        <f t="shared" si="0"/>
        <v>12000</v>
      </c>
    </row>
    <row r="8" spans="1:13" x14ac:dyDescent="0.25">
      <c r="A8" s="357"/>
      <c r="B8" s="676" t="s">
        <v>284</v>
      </c>
      <c r="C8" s="611"/>
      <c r="D8" s="611"/>
      <c r="E8" s="677"/>
      <c r="F8" s="358">
        <f>F5+F6+F7</f>
        <v>44000</v>
      </c>
    </row>
    <row r="11" spans="1:13" x14ac:dyDescent="0.25">
      <c r="B11" s="507" t="s">
        <v>549</v>
      </c>
      <c r="C11" s="507"/>
      <c r="D11" s="507"/>
      <c r="E11" s="507"/>
      <c r="F11" s="507"/>
    </row>
    <row r="13" spans="1:13" x14ac:dyDescent="0.25">
      <c r="C13" s="507" t="s">
        <v>550</v>
      </c>
      <c r="D13" s="507"/>
      <c r="E13" s="507"/>
    </row>
  </sheetData>
  <mergeCells count="5">
    <mergeCell ref="A2:F2"/>
    <mergeCell ref="A3:M3"/>
    <mergeCell ref="B8:E8"/>
    <mergeCell ref="B11:F11"/>
    <mergeCell ref="C13:E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topLeftCell="A69" workbookViewId="0">
      <selection activeCell="A37" sqref="A37:K78"/>
    </sheetView>
  </sheetViews>
  <sheetFormatPr defaultRowHeight="15" x14ac:dyDescent="0.25"/>
  <cols>
    <col min="1" max="1" width="29.140625" customWidth="1"/>
    <col min="2" max="2" width="10.28515625" customWidth="1"/>
    <col min="3" max="3" width="15.85546875" customWidth="1"/>
    <col min="4" max="4" width="16.7109375" style="14" customWidth="1"/>
    <col min="5" max="5" width="16.140625" style="14" customWidth="1"/>
    <col min="6" max="6" width="17.42578125" style="14" customWidth="1"/>
    <col min="7" max="7" width="16.7109375" style="14" customWidth="1"/>
    <col min="8" max="8" width="18.28515625" style="14" customWidth="1"/>
    <col min="9" max="9" width="16.5703125" style="14" customWidth="1"/>
    <col min="10" max="10" width="15.140625" customWidth="1"/>
    <col min="11" max="11" width="16.28515625" customWidth="1"/>
  </cols>
  <sheetData>
    <row r="1" spans="1:11" ht="15.75" thickBot="1" x14ac:dyDescent="0.3">
      <c r="A1" s="450" t="s">
        <v>0</v>
      </c>
      <c r="B1" s="450" t="s">
        <v>1</v>
      </c>
      <c r="C1" s="463" t="s">
        <v>2</v>
      </c>
      <c r="D1" s="452" t="s">
        <v>3</v>
      </c>
      <c r="E1" s="466"/>
      <c r="F1" s="466"/>
      <c r="G1" s="466"/>
      <c r="H1" s="466"/>
      <c r="I1" s="466"/>
      <c r="J1" s="466"/>
      <c r="K1" s="453"/>
    </row>
    <row r="2" spans="1:11" ht="30.75" customHeight="1" thickBot="1" x14ac:dyDescent="0.3">
      <c r="A2" s="462"/>
      <c r="B2" s="462"/>
      <c r="C2" s="464"/>
      <c r="D2" s="452" t="s">
        <v>79</v>
      </c>
      <c r="E2" s="453"/>
      <c r="F2" s="452" t="s">
        <v>80</v>
      </c>
      <c r="G2" s="453"/>
      <c r="H2" s="452" t="s">
        <v>81</v>
      </c>
      <c r="I2" s="453"/>
      <c r="J2" s="467" t="s">
        <v>4</v>
      </c>
      <c r="K2" s="468"/>
    </row>
    <row r="3" spans="1:11" ht="47.25" customHeight="1" thickBot="1" x14ac:dyDescent="0.3">
      <c r="A3" s="462"/>
      <c r="B3" s="462"/>
      <c r="C3" s="464"/>
      <c r="D3" s="452" t="s">
        <v>5</v>
      </c>
      <c r="E3" s="453"/>
      <c r="F3" s="452" t="s">
        <v>6</v>
      </c>
      <c r="G3" s="453"/>
      <c r="H3" s="452" t="s">
        <v>7</v>
      </c>
      <c r="I3" s="453"/>
      <c r="J3" s="469"/>
      <c r="K3" s="470"/>
    </row>
    <row r="4" spans="1:11" ht="39" thickBot="1" x14ac:dyDescent="0.3">
      <c r="A4" s="451"/>
      <c r="B4" s="451"/>
      <c r="C4" s="465"/>
      <c r="D4" s="32" t="s">
        <v>8</v>
      </c>
      <c r="E4" s="32" t="s">
        <v>9</v>
      </c>
      <c r="F4" s="32" t="s">
        <v>8</v>
      </c>
      <c r="G4" s="32" t="s">
        <v>9</v>
      </c>
      <c r="H4" s="32" t="s">
        <v>8</v>
      </c>
      <c r="I4" s="32" t="s">
        <v>9</v>
      </c>
      <c r="J4" s="34" t="s">
        <v>8</v>
      </c>
      <c r="K4" s="34" t="s">
        <v>9</v>
      </c>
    </row>
    <row r="5" spans="1:11" ht="15.75" thickBot="1" x14ac:dyDescent="0.3">
      <c r="A5" s="35">
        <v>1</v>
      </c>
      <c r="B5" s="34">
        <v>2</v>
      </c>
      <c r="C5" s="34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4">
        <v>10</v>
      </c>
      <c r="K5" s="34">
        <v>11</v>
      </c>
    </row>
    <row r="6" spans="1:11" ht="26.25" thickBot="1" x14ac:dyDescent="0.3">
      <c r="A6" s="37" t="s">
        <v>10</v>
      </c>
      <c r="B6" s="34">
        <v>1</v>
      </c>
      <c r="C6" s="34" t="s">
        <v>11</v>
      </c>
      <c r="D6" s="20"/>
      <c r="E6" s="20">
        <v>100368.98</v>
      </c>
      <c r="F6" s="20"/>
      <c r="G6" s="20"/>
      <c r="H6" s="20"/>
      <c r="I6" s="20"/>
      <c r="J6" s="450" t="s">
        <v>11</v>
      </c>
      <c r="K6" s="450" t="s">
        <v>11</v>
      </c>
    </row>
    <row r="7" spans="1:11" ht="26.25" thickBot="1" x14ac:dyDescent="0.3">
      <c r="A7" s="37" t="s">
        <v>12</v>
      </c>
      <c r="B7" s="34">
        <v>2</v>
      </c>
      <c r="C7" s="34" t="s">
        <v>11</v>
      </c>
      <c r="D7" s="20"/>
      <c r="E7" s="20"/>
      <c r="F7" s="20"/>
      <c r="G7" s="20"/>
      <c r="H7" s="20"/>
      <c r="I7" s="20"/>
      <c r="J7" s="451"/>
      <c r="K7" s="451"/>
    </row>
    <row r="8" spans="1:11" ht="15.75" thickBot="1" x14ac:dyDescent="0.3">
      <c r="A8" s="315" t="s">
        <v>13</v>
      </c>
      <c r="B8" s="316">
        <v>1000</v>
      </c>
      <c r="C8" s="319"/>
      <c r="D8" s="317">
        <f>D13+D23</f>
        <v>39828457.439999998</v>
      </c>
      <c r="E8" s="320">
        <f>110483.34+E9</f>
        <v>278483.33999999997</v>
      </c>
      <c r="F8" s="317">
        <f>F13+F23</f>
        <v>36246113.410000004</v>
      </c>
      <c r="G8" s="320">
        <f>G17</f>
        <v>110483.34</v>
      </c>
      <c r="H8" s="317">
        <f>H13+H23</f>
        <v>36104959.410000004</v>
      </c>
      <c r="I8" s="320">
        <f>I17</f>
        <v>110483.34</v>
      </c>
      <c r="J8" s="319"/>
      <c r="K8" s="319"/>
    </row>
    <row r="9" spans="1:11" x14ac:dyDescent="0.25">
      <c r="A9" s="38" t="s">
        <v>14</v>
      </c>
      <c r="B9" s="450">
        <v>1100</v>
      </c>
      <c r="C9" s="450">
        <v>120</v>
      </c>
      <c r="D9" s="471" t="s">
        <v>11</v>
      </c>
      <c r="E9" s="473">
        <v>168000</v>
      </c>
      <c r="F9" s="471" t="s">
        <v>11</v>
      </c>
      <c r="G9" s="473"/>
      <c r="H9" s="471" t="s">
        <v>11</v>
      </c>
      <c r="I9" s="473"/>
      <c r="J9" s="450" t="s">
        <v>11</v>
      </c>
      <c r="K9" s="450" t="s">
        <v>11</v>
      </c>
    </row>
    <row r="10" spans="1:11" ht="54.75" customHeight="1" thickBot="1" x14ac:dyDescent="0.3">
      <c r="A10" s="33" t="s">
        <v>15</v>
      </c>
      <c r="B10" s="451"/>
      <c r="C10" s="451"/>
      <c r="D10" s="472"/>
      <c r="E10" s="474"/>
      <c r="F10" s="472"/>
      <c r="G10" s="474"/>
      <c r="H10" s="472"/>
      <c r="I10" s="474"/>
      <c r="J10" s="451"/>
      <c r="K10" s="451"/>
    </row>
    <row r="11" spans="1:11" x14ac:dyDescent="0.25">
      <c r="A11" s="38" t="s">
        <v>14</v>
      </c>
      <c r="B11" s="450">
        <v>1110</v>
      </c>
      <c r="C11" s="450">
        <v>120</v>
      </c>
      <c r="D11" s="471" t="s">
        <v>11</v>
      </c>
      <c r="E11" s="473"/>
      <c r="F11" s="471" t="s">
        <v>11</v>
      </c>
      <c r="G11" s="473"/>
      <c r="H11" s="471" t="s">
        <v>11</v>
      </c>
      <c r="I11" s="473"/>
      <c r="J11" s="450" t="s">
        <v>11</v>
      </c>
      <c r="K11" s="450" t="s">
        <v>11</v>
      </c>
    </row>
    <row r="12" spans="1:11" ht="104.25" customHeight="1" thickBot="1" x14ac:dyDescent="0.3">
      <c r="A12" s="33" t="s">
        <v>16</v>
      </c>
      <c r="B12" s="451"/>
      <c r="C12" s="451"/>
      <c r="D12" s="472"/>
      <c r="E12" s="474"/>
      <c r="F12" s="472"/>
      <c r="G12" s="474"/>
      <c r="H12" s="472"/>
      <c r="I12" s="474"/>
      <c r="J12" s="451"/>
      <c r="K12" s="451"/>
    </row>
    <row r="13" spans="1:11" ht="98.25" customHeight="1" thickBot="1" x14ac:dyDescent="0.3">
      <c r="A13" s="33" t="s">
        <v>82</v>
      </c>
      <c r="B13" s="34">
        <v>1200</v>
      </c>
      <c r="C13" s="34">
        <v>130</v>
      </c>
      <c r="D13" s="39">
        <f>D14</f>
        <v>31766370.989999998</v>
      </c>
      <c r="E13" s="20">
        <v>110483.34</v>
      </c>
      <c r="F13" s="39">
        <f>F14</f>
        <v>32048889.920000002</v>
      </c>
      <c r="G13" s="20">
        <v>110483.34</v>
      </c>
      <c r="H13" s="39">
        <f>H14</f>
        <v>31971689.920000002</v>
      </c>
      <c r="I13" s="20">
        <v>110483.34</v>
      </c>
      <c r="J13" s="21"/>
      <c r="K13" s="34" t="s">
        <v>90</v>
      </c>
    </row>
    <row r="14" spans="1:11" ht="15.75" customHeight="1" x14ac:dyDescent="0.25">
      <c r="A14" s="38" t="s">
        <v>14</v>
      </c>
      <c r="B14" s="450">
        <v>1210</v>
      </c>
      <c r="C14" s="450">
        <v>130</v>
      </c>
      <c r="D14" s="473">
        <f>32038571.66-125000+79964.83+278531-392902.5-100300-147494-20000+5000+150000</f>
        <v>31766370.989999998</v>
      </c>
      <c r="E14" s="471" t="s">
        <v>11</v>
      </c>
      <c r="F14" s="473">
        <f>32048889.92-44000+44000</f>
        <v>32048889.920000002</v>
      </c>
      <c r="G14" s="471" t="s">
        <v>11</v>
      </c>
      <c r="H14" s="473">
        <f>31971689.92-44000+44000</f>
        <v>31971689.920000002</v>
      </c>
      <c r="I14" s="471" t="s">
        <v>11</v>
      </c>
      <c r="J14" s="450" t="s">
        <v>11</v>
      </c>
      <c r="K14" s="450" t="s">
        <v>11</v>
      </c>
    </row>
    <row r="15" spans="1:11" ht="79.5" customHeight="1" thickBot="1" x14ac:dyDescent="0.3">
      <c r="A15" s="33" t="s">
        <v>83</v>
      </c>
      <c r="B15" s="451"/>
      <c r="C15" s="451"/>
      <c r="D15" s="474"/>
      <c r="E15" s="472"/>
      <c r="F15" s="474"/>
      <c r="G15" s="472"/>
      <c r="H15" s="474"/>
      <c r="I15" s="472"/>
      <c r="J15" s="451"/>
      <c r="K15" s="451"/>
    </row>
    <row r="16" spans="1:11" ht="88.5" customHeight="1" thickBot="1" x14ac:dyDescent="0.3">
      <c r="A16" s="33" t="s">
        <v>84</v>
      </c>
      <c r="B16" s="34">
        <v>1220</v>
      </c>
      <c r="C16" s="34">
        <v>130</v>
      </c>
      <c r="D16" s="32" t="s">
        <v>11</v>
      </c>
      <c r="E16" s="20"/>
      <c r="F16" s="32" t="s">
        <v>11</v>
      </c>
      <c r="G16" s="20"/>
      <c r="H16" s="32" t="s">
        <v>11</v>
      </c>
      <c r="I16" s="20"/>
      <c r="J16" s="34" t="s">
        <v>11</v>
      </c>
      <c r="K16" s="21"/>
    </row>
    <row r="17" spans="1:11" ht="119.25" customHeight="1" thickBot="1" x14ac:dyDescent="0.3">
      <c r="A17" s="33" t="s">
        <v>85</v>
      </c>
      <c r="B17" s="34">
        <v>1230</v>
      </c>
      <c r="C17" s="34">
        <v>130</v>
      </c>
      <c r="D17" s="32" t="s">
        <v>11</v>
      </c>
      <c r="E17" s="20">
        <v>110483.34</v>
      </c>
      <c r="F17" s="32" t="s">
        <v>11</v>
      </c>
      <c r="G17" s="20">
        <v>110483.34</v>
      </c>
      <c r="H17" s="32" t="s">
        <v>11</v>
      </c>
      <c r="I17" s="20">
        <f>G17</f>
        <v>110483.34</v>
      </c>
      <c r="J17" s="34" t="s">
        <v>11</v>
      </c>
      <c r="K17" s="21"/>
    </row>
    <row r="18" spans="1:11" ht="112.5" customHeight="1" thickBot="1" x14ac:dyDescent="0.3">
      <c r="A18" s="33" t="s">
        <v>17</v>
      </c>
      <c r="B18" s="34">
        <v>1240</v>
      </c>
      <c r="C18" s="34">
        <v>130</v>
      </c>
      <c r="D18" s="32" t="s">
        <v>11</v>
      </c>
      <c r="E18" s="20"/>
      <c r="F18" s="32" t="s">
        <v>11</v>
      </c>
      <c r="G18" s="20"/>
      <c r="H18" s="32" t="s">
        <v>11</v>
      </c>
      <c r="I18" s="20"/>
      <c r="J18" s="34" t="s">
        <v>11</v>
      </c>
      <c r="K18" s="34" t="s">
        <v>11</v>
      </c>
    </row>
    <row r="19" spans="1:11" ht="90" customHeight="1" thickBot="1" x14ac:dyDescent="0.3">
      <c r="A19" s="33" t="s">
        <v>18</v>
      </c>
      <c r="B19" s="34">
        <v>1300</v>
      </c>
      <c r="C19" s="34">
        <v>140</v>
      </c>
      <c r="D19" s="32" t="s">
        <v>11</v>
      </c>
      <c r="E19" s="20"/>
      <c r="F19" s="32" t="s">
        <v>11</v>
      </c>
      <c r="G19" s="20"/>
      <c r="H19" s="32" t="s">
        <v>11</v>
      </c>
      <c r="I19" s="20"/>
      <c r="J19" s="34" t="s">
        <v>11</v>
      </c>
      <c r="K19" s="34" t="s">
        <v>11</v>
      </c>
    </row>
    <row r="20" spans="1:11" ht="18" customHeight="1" thickBot="1" x14ac:dyDescent="0.3">
      <c r="A20" s="33" t="s">
        <v>14</v>
      </c>
      <c r="B20" s="34">
        <v>1310</v>
      </c>
      <c r="C20" s="34">
        <v>140</v>
      </c>
      <c r="D20" s="20"/>
      <c r="E20" s="20"/>
      <c r="F20" s="20"/>
      <c r="G20" s="20"/>
      <c r="H20" s="20"/>
      <c r="I20" s="20"/>
      <c r="J20" s="21"/>
      <c r="K20" s="21"/>
    </row>
    <row r="21" spans="1:11" ht="72.75" customHeight="1" thickBot="1" x14ac:dyDescent="0.3">
      <c r="A21" s="33" t="s">
        <v>19</v>
      </c>
      <c r="B21" s="34">
        <v>1400</v>
      </c>
      <c r="C21" s="34">
        <v>150</v>
      </c>
      <c r="D21" s="32" t="s">
        <v>11</v>
      </c>
      <c r="E21" s="20"/>
      <c r="F21" s="32" t="s">
        <v>11</v>
      </c>
      <c r="G21" s="20"/>
      <c r="H21" s="32" t="s">
        <v>11</v>
      </c>
      <c r="I21" s="20"/>
      <c r="J21" s="34" t="s">
        <v>11</v>
      </c>
      <c r="K21" s="21"/>
    </row>
    <row r="22" spans="1:11" ht="19.5" customHeight="1" thickBot="1" x14ac:dyDescent="0.3">
      <c r="A22" s="33" t="s">
        <v>14</v>
      </c>
      <c r="B22" s="21"/>
      <c r="C22" s="21"/>
      <c r="D22" s="20"/>
      <c r="E22" s="20"/>
      <c r="F22" s="20"/>
      <c r="G22" s="20"/>
      <c r="H22" s="20"/>
      <c r="I22" s="20"/>
      <c r="J22" s="21"/>
      <c r="K22" s="21"/>
    </row>
    <row r="23" spans="1:11" s="413" customFormat="1" ht="35.25" customHeight="1" thickBot="1" x14ac:dyDescent="0.3">
      <c r="A23" s="408" t="s">
        <v>86</v>
      </c>
      <c r="B23" s="409">
        <v>1500</v>
      </c>
      <c r="C23" s="409">
        <v>180</v>
      </c>
      <c r="D23" s="410">
        <f>4602023.49-79964.83-25000-20000+3367260.37+598353.6-359631.18-50000+29045</f>
        <v>8062086.4500000011</v>
      </c>
      <c r="E23" s="411"/>
      <c r="F23" s="410">
        <v>4197223.49</v>
      </c>
      <c r="G23" s="411"/>
      <c r="H23" s="410">
        <v>4133269.49</v>
      </c>
      <c r="I23" s="411"/>
      <c r="J23" s="412"/>
      <c r="K23" s="412"/>
    </row>
    <row r="24" spans="1:11" ht="20.25" customHeight="1" x14ac:dyDescent="0.25">
      <c r="A24" s="38" t="s">
        <v>14</v>
      </c>
      <c r="B24" s="450">
        <v>1510</v>
      </c>
      <c r="C24" s="450">
        <v>180</v>
      </c>
      <c r="D24" s="475">
        <f>D23-D26</f>
        <v>7834586.4500000011</v>
      </c>
      <c r="E24" s="471" t="s">
        <v>11</v>
      </c>
      <c r="F24" s="475">
        <f>F23-F26</f>
        <v>3969723.49</v>
      </c>
      <c r="G24" s="471" t="s">
        <v>11</v>
      </c>
      <c r="H24" s="475">
        <f>H23-H26</f>
        <v>3905769.49</v>
      </c>
      <c r="I24" s="471" t="s">
        <v>11</v>
      </c>
      <c r="J24" s="450" t="s">
        <v>11</v>
      </c>
      <c r="K24" s="450" t="s">
        <v>11</v>
      </c>
    </row>
    <row r="25" spans="1:11" ht="35.25" customHeight="1" thickBot="1" x14ac:dyDescent="0.3">
      <c r="A25" s="33" t="s">
        <v>87</v>
      </c>
      <c r="B25" s="451"/>
      <c r="C25" s="451"/>
      <c r="D25" s="476"/>
      <c r="E25" s="472"/>
      <c r="F25" s="476"/>
      <c r="G25" s="472"/>
      <c r="H25" s="476"/>
      <c r="I25" s="472"/>
      <c r="J25" s="451"/>
      <c r="K25" s="451"/>
    </row>
    <row r="26" spans="1:11" ht="64.5" customHeight="1" thickBot="1" x14ac:dyDescent="0.3">
      <c r="A26" s="33" t="s">
        <v>114</v>
      </c>
      <c r="B26" s="34">
        <v>1520</v>
      </c>
      <c r="C26" s="34">
        <v>180</v>
      </c>
      <c r="D26" s="40">
        <v>227500</v>
      </c>
      <c r="E26" s="32" t="s">
        <v>11</v>
      </c>
      <c r="F26" s="40">
        <v>227500</v>
      </c>
      <c r="G26" s="32" t="s">
        <v>11</v>
      </c>
      <c r="H26" s="40">
        <v>227500</v>
      </c>
      <c r="I26" s="32" t="s">
        <v>11</v>
      </c>
      <c r="J26" s="34" t="s">
        <v>11</v>
      </c>
      <c r="K26" s="34" t="s">
        <v>11</v>
      </c>
    </row>
    <row r="27" spans="1:11" ht="55.5" customHeight="1" thickBot="1" x14ac:dyDescent="0.3">
      <c r="A27" s="33" t="s">
        <v>20</v>
      </c>
      <c r="B27" s="34">
        <v>1900</v>
      </c>
      <c r="C27" s="21"/>
      <c r="D27" s="20"/>
      <c r="E27" s="20"/>
      <c r="F27" s="20"/>
      <c r="G27" s="20"/>
      <c r="H27" s="20"/>
      <c r="I27" s="20"/>
      <c r="J27" s="21"/>
      <c r="K27" s="21"/>
    </row>
    <row r="28" spans="1:11" ht="27.75" customHeight="1" thickBot="1" x14ac:dyDescent="0.3">
      <c r="A28" s="33" t="s">
        <v>14</v>
      </c>
      <c r="B28" s="21"/>
      <c r="C28" s="21"/>
      <c r="D28" s="20"/>
      <c r="E28" s="20"/>
      <c r="F28" s="20"/>
      <c r="G28" s="20"/>
      <c r="H28" s="20"/>
      <c r="I28" s="20"/>
      <c r="J28" s="21"/>
      <c r="K28" s="21"/>
    </row>
    <row r="29" spans="1:11" ht="59.25" customHeight="1" thickBot="1" x14ac:dyDescent="0.3">
      <c r="A29" s="37" t="s">
        <v>21</v>
      </c>
      <c r="B29" s="34">
        <v>1980</v>
      </c>
      <c r="C29" s="34" t="s">
        <v>11</v>
      </c>
      <c r="D29" s="20"/>
      <c r="E29" s="20"/>
      <c r="F29" s="20"/>
      <c r="G29" s="20"/>
      <c r="H29" s="20"/>
      <c r="I29" s="20"/>
      <c r="J29" s="21"/>
      <c r="K29" s="21"/>
    </row>
    <row r="30" spans="1:11" x14ac:dyDescent="0.25">
      <c r="A30" s="38" t="s">
        <v>22</v>
      </c>
      <c r="B30" s="450">
        <v>1981</v>
      </c>
      <c r="C30" s="450">
        <v>510</v>
      </c>
      <c r="D30" s="473"/>
      <c r="E30" s="473"/>
      <c r="F30" s="473"/>
      <c r="G30" s="473"/>
      <c r="H30" s="473"/>
      <c r="I30" s="473"/>
      <c r="J30" s="460" t="s">
        <v>11</v>
      </c>
      <c r="K30" s="460" t="s">
        <v>11</v>
      </c>
    </row>
    <row r="31" spans="1:11" ht="108.75" customHeight="1" thickBot="1" x14ac:dyDescent="0.3">
      <c r="A31" s="33" t="s">
        <v>23</v>
      </c>
      <c r="B31" s="451"/>
      <c r="C31" s="451"/>
      <c r="D31" s="474"/>
      <c r="E31" s="474"/>
      <c r="F31" s="474"/>
      <c r="G31" s="474"/>
      <c r="H31" s="474"/>
      <c r="I31" s="474"/>
      <c r="J31" s="461"/>
      <c r="K31" s="461"/>
    </row>
    <row r="32" spans="1:11" ht="22.5" customHeight="1" thickBot="1" x14ac:dyDescent="0.3">
      <c r="A32" s="315" t="s">
        <v>24</v>
      </c>
      <c r="B32" s="316">
        <v>2000</v>
      </c>
      <c r="C32" s="316" t="s">
        <v>11</v>
      </c>
      <c r="D32" s="317">
        <f>D35+D37+D39+D53+D62+D73+D63</f>
        <v>39828257.439999998</v>
      </c>
      <c r="E32" s="318">
        <f>E62</f>
        <v>378852.32</v>
      </c>
      <c r="F32" s="317">
        <f>F35+F37+F39+F53+F62+F73+F63</f>
        <v>36246113.410000004</v>
      </c>
      <c r="G32" s="318">
        <f>G17+G6</f>
        <v>110483.34</v>
      </c>
      <c r="H32" s="317">
        <f>H35+H37+H39+H53+H62+H73+H63</f>
        <v>36104959.410000004</v>
      </c>
      <c r="I32" s="318">
        <f>I17+I6</f>
        <v>110483.34</v>
      </c>
      <c r="J32" s="41"/>
      <c r="K32" s="42"/>
    </row>
    <row r="33" spans="1:11" x14ac:dyDescent="0.25">
      <c r="A33" s="38" t="s">
        <v>14</v>
      </c>
      <c r="B33" s="450">
        <v>2100</v>
      </c>
      <c r="C33" s="450" t="s">
        <v>11</v>
      </c>
      <c r="D33" s="473"/>
      <c r="E33" s="473"/>
      <c r="F33" s="473"/>
      <c r="G33" s="473"/>
      <c r="H33" s="473"/>
      <c r="I33" s="473"/>
      <c r="J33" s="460" t="s">
        <v>11</v>
      </c>
      <c r="K33" s="460" t="s">
        <v>11</v>
      </c>
    </row>
    <row r="34" spans="1:11" ht="60" customHeight="1" thickBot="1" x14ac:dyDescent="0.3">
      <c r="A34" s="33" t="s">
        <v>25</v>
      </c>
      <c r="B34" s="451"/>
      <c r="C34" s="451"/>
      <c r="D34" s="474"/>
      <c r="E34" s="474"/>
      <c r="F34" s="474"/>
      <c r="G34" s="474"/>
      <c r="H34" s="474"/>
      <c r="I34" s="474"/>
      <c r="J34" s="461"/>
      <c r="K34" s="461"/>
    </row>
    <row r="35" spans="1:11" ht="24.75" customHeight="1" x14ac:dyDescent="0.25">
      <c r="A35" s="450" t="s">
        <v>88</v>
      </c>
      <c r="B35" s="450">
        <v>2110</v>
      </c>
      <c r="C35" s="450">
        <v>111</v>
      </c>
      <c r="D35" s="473">
        <f>20919375.28-301768.43+2586221.48-276214.42+22307.98</f>
        <v>22949921.890000001</v>
      </c>
      <c r="E35" s="473"/>
      <c r="F35" s="473">
        <f>19529607.43+1594804.92</f>
        <v>21124412.350000001</v>
      </c>
      <c r="G35" s="473"/>
      <c r="H35" s="473">
        <f>19529607.43+1594804.92</f>
        <v>21124412.350000001</v>
      </c>
      <c r="I35" s="473"/>
      <c r="J35" s="460" t="s">
        <v>11</v>
      </c>
      <c r="K35" s="460" t="s">
        <v>11</v>
      </c>
    </row>
    <row r="36" spans="1:11" ht="14.25" customHeight="1" thickBot="1" x14ac:dyDescent="0.3">
      <c r="A36" s="451"/>
      <c r="B36" s="451"/>
      <c r="C36" s="451"/>
      <c r="D36" s="474"/>
      <c r="E36" s="474"/>
      <c r="F36" s="474"/>
      <c r="G36" s="474"/>
      <c r="H36" s="474"/>
      <c r="I36" s="474"/>
      <c r="J36" s="461"/>
      <c r="K36" s="461"/>
    </row>
    <row r="37" spans="1:11" ht="78.75" customHeight="1" thickBot="1" x14ac:dyDescent="0.3">
      <c r="A37" s="33" t="s">
        <v>26</v>
      </c>
      <c r="B37" s="34">
        <v>2120</v>
      </c>
      <c r="C37" s="34">
        <v>112</v>
      </c>
      <c r="D37" s="39">
        <v>587200</v>
      </c>
      <c r="E37" s="20"/>
      <c r="F37" s="39">
        <v>217800</v>
      </c>
      <c r="G37" s="20"/>
      <c r="H37" s="39">
        <v>217800</v>
      </c>
      <c r="I37" s="20"/>
      <c r="J37" s="43" t="s">
        <v>11</v>
      </c>
      <c r="K37" s="43" t="s">
        <v>11</v>
      </c>
    </row>
    <row r="38" spans="1:11" ht="98.25" customHeight="1" thickBot="1" x14ac:dyDescent="0.3">
      <c r="A38" s="33" t="s">
        <v>27</v>
      </c>
      <c r="B38" s="34">
        <v>2130</v>
      </c>
      <c r="C38" s="34">
        <v>113</v>
      </c>
      <c r="D38" s="20"/>
      <c r="E38" s="20"/>
      <c r="F38" s="20"/>
      <c r="G38" s="20"/>
      <c r="H38" s="20"/>
      <c r="I38" s="20"/>
      <c r="J38" s="43" t="s">
        <v>11</v>
      </c>
      <c r="K38" s="43" t="s">
        <v>11</v>
      </c>
    </row>
    <row r="39" spans="1:11" ht="95.25" customHeight="1" thickBot="1" x14ac:dyDescent="0.3">
      <c r="A39" s="33" t="s">
        <v>28</v>
      </c>
      <c r="B39" s="34">
        <v>2140</v>
      </c>
      <c r="C39" s="34">
        <v>119</v>
      </c>
      <c r="D39" s="39">
        <f>6449291.34-91134.07+781038.89-83416.76+6737.02</f>
        <v>7062516.419999999</v>
      </c>
      <c r="E39" s="20"/>
      <c r="F39" s="39">
        <f>5897941.45+481631.08</f>
        <v>6379572.5300000003</v>
      </c>
      <c r="G39" s="20"/>
      <c r="H39" s="39">
        <f>5897941.45+481631.08</f>
        <v>6379572.5300000003</v>
      </c>
      <c r="I39" s="20"/>
      <c r="J39" s="43" t="s">
        <v>11</v>
      </c>
      <c r="K39" s="43" t="s">
        <v>11</v>
      </c>
    </row>
    <row r="40" spans="1:11" x14ac:dyDescent="0.25">
      <c r="A40" s="38" t="s">
        <v>14</v>
      </c>
      <c r="B40" s="450">
        <v>2141</v>
      </c>
      <c r="C40" s="450">
        <v>119</v>
      </c>
      <c r="D40" s="473"/>
      <c r="E40" s="473"/>
      <c r="F40" s="473"/>
      <c r="G40" s="473"/>
      <c r="H40" s="473"/>
      <c r="I40" s="473"/>
      <c r="J40" s="467" t="s">
        <v>11</v>
      </c>
      <c r="K40" s="468"/>
    </row>
    <row r="41" spans="1:11" ht="39.75" customHeight="1" thickBot="1" x14ac:dyDescent="0.3">
      <c r="A41" s="33" t="s">
        <v>29</v>
      </c>
      <c r="B41" s="451"/>
      <c r="C41" s="451"/>
      <c r="D41" s="474"/>
      <c r="E41" s="474"/>
      <c r="F41" s="474"/>
      <c r="G41" s="474"/>
      <c r="H41" s="474"/>
      <c r="I41" s="474"/>
      <c r="J41" s="469"/>
      <c r="K41" s="470"/>
    </row>
    <row r="42" spans="1:11" ht="56.25" customHeight="1" thickBot="1" x14ac:dyDescent="0.3">
      <c r="A42" s="33" t="s">
        <v>30</v>
      </c>
      <c r="B42" s="34">
        <v>2142</v>
      </c>
      <c r="C42" s="34">
        <v>119</v>
      </c>
      <c r="D42" s="20"/>
      <c r="E42" s="20"/>
      <c r="F42" s="20"/>
      <c r="G42" s="20"/>
      <c r="H42" s="20"/>
      <c r="I42" s="20"/>
      <c r="J42" s="452" t="s">
        <v>11</v>
      </c>
      <c r="K42" s="453"/>
    </row>
    <row r="43" spans="1:11" ht="75" customHeight="1" thickBot="1" x14ac:dyDescent="0.3">
      <c r="A43" s="33" t="s">
        <v>31</v>
      </c>
      <c r="B43" s="34">
        <v>2200</v>
      </c>
      <c r="C43" s="34">
        <v>300</v>
      </c>
      <c r="D43" s="20"/>
      <c r="E43" s="20"/>
      <c r="F43" s="20"/>
      <c r="G43" s="20"/>
      <c r="H43" s="20"/>
      <c r="I43" s="20"/>
      <c r="J43" s="452" t="s">
        <v>11</v>
      </c>
      <c r="K43" s="453"/>
    </row>
    <row r="44" spans="1:11" x14ac:dyDescent="0.25">
      <c r="A44" s="38" t="s">
        <v>14</v>
      </c>
      <c r="B44" s="450">
        <v>2210</v>
      </c>
      <c r="C44" s="450">
        <v>320</v>
      </c>
      <c r="D44" s="473"/>
      <c r="E44" s="473"/>
      <c r="F44" s="473"/>
      <c r="G44" s="473"/>
      <c r="H44" s="473"/>
      <c r="I44" s="473"/>
      <c r="J44" s="467" t="s">
        <v>11</v>
      </c>
      <c r="K44" s="468"/>
    </row>
    <row r="45" spans="1:11" ht="98.25" customHeight="1" thickBot="1" x14ac:dyDescent="0.3">
      <c r="A45" s="33" t="s">
        <v>32</v>
      </c>
      <c r="B45" s="451"/>
      <c r="C45" s="451"/>
      <c r="D45" s="474"/>
      <c r="E45" s="474"/>
      <c r="F45" s="474"/>
      <c r="G45" s="474"/>
      <c r="H45" s="474"/>
      <c r="I45" s="474"/>
      <c r="J45" s="469"/>
      <c r="K45" s="470"/>
    </row>
    <row r="46" spans="1:11" x14ac:dyDescent="0.25">
      <c r="A46" s="38" t="s">
        <v>22</v>
      </c>
      <c r="B46" s="450">
        <v>2211</v>
      </c>
      <c r="C46" s="450">
        <v>321</v>
      </c>
      <c r="D46" s="473"/>
      <c r="E46" s="473"/>
      <c r="F46" s="473"/>
      <c r="G46" s="473"/>
      <c r="H46" s="473"/>
      <c r="I46" s="473"/>
      <c r="J46" s="467" t="s">
        <v>11</v>
      </c>
      <c r="K46" s="468"/>
    </row>
    <row r="47" spans="1:11" ht="124.5" customHeight="1" thickBot="1" x14ac:dyDescent="0.3">
      <c r="A47" s="33" t="s">
        <v>33</v>
      </c>
      <c r="B47" s="451"/>
      <c r="C47" s="451"/>
      <c r="D47" s="474"/>
      <c r="E47" s="474"/>
      <c r="F47" s="474"/>
      <c r="G47" s="474"/>
      <c r="H47" s="474"/>
      <c r="I47" s="474"/>
      <c r="J47" s="469"/>
      <c r="K47" s="470"/>
    </row>
    <row r="48" spans="1:11" ht="157.5" customHeight="1" thickBot="1" x14ac:dyDescent="0.3">
      <c r="A48" s="33" t="s">
        <v>34</v>
      </c>
      <c r="B48" s="34">
        <v>2230</v>
      </c>
      <c r="C48" s="34">
        <v>350</v>
      </c>
      <c r="D48" s="20"/>
      <c r="E48" s="20"/>
      <c r="F48" s="20"/>
      <c r="G48" s="20"/>
      <c r="H48" s="20"/>
      <c r="I48" s="20"/>
      <c r="J48" s="452" t="s">
        <v>11</v>
      </c>
      <c r="K48" s="453"/>
    </row>
    <row r="49" spans="1:11" ht="90.75" customHeight="1" thickBot="1" x14ac:dyDescent="0.3">
      <c r="A49" s="33" t="s">
        <v>35</v>
      </c>
      <c r="B49" s="34">
        <v>2240</v>
      </c>
      <c r="C49" s="34">
        <v>360</v>
      </c>
      <c r="D49" s="20"/>
      <c r="E49" s="20"/>
      <c r="F49" s="20"/>
      <c r="G49" s="20"/>
      <c r="H49" s="20"/>
      <c r="I49" s="20"/>
      <c r="J49" s="452" t="s">
        <v>11</v>
      </c>
      <c r="K49" s="453"/>
    </row>
    <row r="50" spans="1:11" ht="77.25" customHeight="1" thickBot="1" x14ac:dyDescent="0.3">
      <c r="A50" s="33" t="s">
        <v>36</v>
      </c>
      <c r="B50" s="34">
        <v>2300</v>
      </c>
      <c r="C50" s="34">
        <v>850</v>
      </c>
      <c r="D50" s="20">
        <f>D53+D54</f>
        <v>1800</v>
      </c>
      <c r="E50" s="20"/>
      <c r="F50" s="20">
        <f>F53+F54</f>
        <v>2000</v>
      </c>
      <c r="G50" s="20"/>
      <c r="H50" s="20">
        <f>H53+H54</f>
        <v>2000</v>
      </c>
      <c r="I50" s="20"/>
      <c r="J50" s="452" t="s">
        <v>11</v>
      </c>
      <c r="K50" s="453"/>
    </row>
    <row r="51" spans="1:11" x14ac:dyDescent="0.25">
      <c r="A51" s="38" t="s">
        <v>22</v>
      </c>
      <c r="B51" s="450">
        <v>2310</v>
      </c>
      <c r="C51" s="450">
        <v>851</v>
      </c>
      <c r="D51" s="473"/>
      <c r="E51" s="473"/>
      <c r="F51" s="473"/>
      <c r="G51" s="473"/>
      <c r="H51" s="473"/>
      <c r="I51" s="473"/>
      <c r="J51" s="467" t="s">
        <v>11</v>
      </c>
      <c r="K51" s="468"/>
    </row>
    <row r="52" spans="1:11" ht="69.75" customHeight="1" thickBot="1" x14ac:dyDescent="0.3">
      <c r="A52" s="33" t="s">
        <v>37</v>
      </c>
      <c r="B52" s="451"/>
      <c r="C52" s="451"/>
      <c r="D52" s="474"/>
      <c r="E52" s="474"/>
      <c r="F52" s="474"/>
      <c r="G52" s="474"/>
      <c r="H52" s="474"/>
      <c r="I52" s="474"/>
      <c r="J52" s="469"/>
      <c r="K52" s="470"/>
    </row>
    <row r="53" spans="1:11" ht="90" customHeight="1" thickBot="1" x14ac:dyDescent="0.3">
      <c r="A53" s="33" t="s">
        <v>38</v>
      </c>
      <c r="B53" s="34">
        <v>2320</v>
      </c>
      <c r="C53" s="34">
        <v>852</v>
      </c>
      <c r="D53" s="39">
        <v>1800</v>
      </c>
      <c r="E53" s="20"/>
      <c r="F53" s="39">
        <v>2000</v>
      </c>
      <c r="G53" s="20"/>
      <c r="H53" s="39">
        <v>2000</v>
      </c>
      <c r="I53" s="20"/>
      <c r="J53" s="452" t="s">
        <v>11</v>
      </c>
      <c r="K53" s="453"/>
    </row>
    <row r="54" spans="1:11" ht="69.75" customHeight="1" thickBot="1" x14ac:dyDescent="0.3">
      <c r="A54" s="33" t="s">
        <v>39</v>
      </c>
      <c r="B54" s="34">
        <v>2330</v>
      </c>
      <c r="C54" s="34">
        <v>853</v>
      </c>
      <c r="D54" s="20"/>
      <c r="E54" s="20"/>
      <c r="F54" s="20"/>
      <c r="G54" s="20"/>
      <c r="H54" s="20"/>
      <c r="I54" s="20"/>
      <c r="J54" s="452" t="s">
        <v>11</v>
      </c>
      <c r="K54" s="453"/>
    </row>
    <row r="55" spans="1:11" ht="71.25" customHeight="1" thickBot="1" x14ac:dyDescent="0.3">
      <c r="A55" s="33" t="s">
        <v>40</v>
      </c>
      <c r="B55" s="34">
        <v>2500</v>
      </c>
      <c r="C55" s="34" t="s">
        <v>11</v>
      </c>
      <c r="D55" s="20"/>
      <c r="E55" s="20"/>
      <c r="F55" s="20"/>
      <c r="G55" s="20"/>
      <c r="H55" s="20"/>
      <c r="I55" s="20"/>
      <c r="J55" s="452" t="s">
        <v>11</v>
      </c>
      <c r="K55" s="453"/>
    </row>
    <row r="56" spans="1:11" ht="119.25" customHeight="1" thickBot="1" x14ac:dyDescent="0.3">
      <c r="A56" s="33" t="s">
        <v>41</v>
      </c>
      <c r="B56" s="34">
        <v>2520</v>
      </c>
      <c r="C56" s="34">
        <v>831</v>
      </c>
      <c r="D56" s="20"/>
      <c r="E56" s="20"/>
      <c r="F56" s="20"/>
      <c r="G56" s="20"/>
      <c r="H56" s="20"/>
      <c r="I56" s="20"/>
      <c r="J56" s="452" t="s">
        <v>11</v>
      </c>
      <c r="K56" s="453"/>
    </row>
    <row r="57" spans="1:11" ht="75.75" customHeight="1" thickBot="1" x14ac:dyDescent="0.3">
      <c r="A57" s="37" t="s">
        <v>42</v>
      </c>
      <c r="B57" s="34">
        <v>2600</v>
      </c>
      <c r="C57" s="34" t="s">
        <v>11</v>
      </c>
      <c r="D57" s="20"/>
      <c r="E57" s="20"/>
      <c r="F57" s="20"/>
      <c r="G57" s="20"/>
      <c r="H57" s="20"/>
      <c r="I57" s="20"/>
      <c r="J57" s="21"/>
      <c r="K57" s="21"/>
    </row>
    <row r="58" spans="1:11" x14ac:dyDescent="0.25">
      <c r="A58" s="38" t="s">
        <v>14</v>
      </c>
      <c r="B58" s="450">
        <v>2610</v>
      </c>
      <c r="C58" s="450">
        <v>241</v>
      </c>
      <c r="D58" s="473"/>
      <c r="E58" s="473"/>
      <c r="F58" s="473"/>
      <c r="G58" s="473"/>
      <c r="H58" s="473"/>
      <c r="I58" s="473"/>
      <c r="J58" s="477"/>
      <c r="K58" s="477"/>
    </row>
    <row r="59" spans="1:11" ht="63.75" customHeight="1" thickBot="1" x14ac:dyDescent="0.3">
      <c r="A59" s="33" t="s">
        <v>43</v>
      </c>
      <c r="B59" s="451"/>
      <c r="C59" s="451"/>
      <c r="D59" s="474"/>
      <c r="E59" s="474"/>
      <c r="F59" s="474"/>
      <c r="G59" s="474"/>
      <c r="H59" s="474"/>
      <c r="I59" s="474"/>
      <c r="J59" s="478"/>
      <c r="K59" s="478"/>
    </row>
    <row r="60" spans="1:11" ht="108.75" customHeight="1" thickBot="1" x14ac:dyDescent="0.3">
      <c r="A60" s="33" t="s">
        <v>44</v>
      </c>
      <c r="B60" s="34">
        <v>2620</v>
      </c>
      <c r="C60" s="34">
        <v>242</v>
      </c>
      <c r="D60" s="20"/>
      <c r="E60" s="20"/>
      <c r="F60" s="20"/>
      <c r="G60" s="20"/>
      <c r="H60" s="20"/>
      <c r="I60" s="20"/>
      <c r="J60" s="21"/>
      <c r="K60" s="21"/>
    </row>
    <row r="61" spans="1:11" ht="81.75" customHeight="1" thickBot="1" x14ac:dyDescent="0.3">
      <c r="A61" s="33" t="s">
        <v>45</v>
      </c>
      <c r="B61" s="34">
        <v>2630</v>
      </c>
      <c r="C61" s="34">
        <v>243</v>
      </c>
      <c r="D61" s="20"/>
      <c r="E61" s="20"/>
      <c r="F61" s="20"/>
      <c r="G61" s="20"/>
      <c r="H61" s="20"/>
      <c r="I61" s="20"/>
      <c r="J61" s="21"/>
      <c r="K61" s="21"/>
    </row>
    <row r="62" spans="1:11" ht="63" customHeight="1" thickBot="1" x14ac:dyDescent="0.3">
      <c r="A62" s="33" t="s">
        <v>46</v>
      </c>
      <c r="B62" s="34">
        <v>2640</v>
      </c>
      <c r="C62" s="34">
        <v>244</v>
      </c>
      <c r="D62" s="39">
        <f>5496241.79-100300-147494+598353.6-20000-50000+5000+150000-19400</f>
        <v>5912401.3899999997</v>
      </c>
      <c r="E62" s="20">
        <v>378852.32</v>
      </c>
      <c r="F62" s="39">
        <f>8424328.53-44000+44000-3216417.74</f>
        <v>5207910.7899999991</v>
      </c>
      <c r="G62" s="20">
        <f>G32</f>
        <v>110483.34</v>
      </c>
      <c r="H62" s="39">
        <f>10919979.28-63954-124783.4-2370867.35-77200-44000+44000-3216417.74</f>
        <v>5066756.7899999991</v>
      </c>
      <c r="I62" s="20">
        <f>I32</f>
        <v>110483.34</v>
      </c>
      <c r="J62" s="21"/>
      <c r="K62" s="21"/>
    </row>
    <row r="63" spans="1:11" ht="63" customHeight="1" thickBot="1" x14ac:dyDescent="0.3">
      <c r="A63" s="405" t="s">
        <v>583</v>
      </c>
      <c r="B63" s="404">
        <v>2641</v>
      </c>
      <c r="C63" s="404">
        <v>247</v>
      </c>
      <c r="D63" s="39">
        <v>3216417.74</v>
      </c>
      <c r="E63" s="20"/>
      <c r="F63" s="39">
        <v>3216417.74</v>
      </c>
      <c r="G63" s="20"/>
      <c r="H63" s="39">
        <v>3216417.74</v>
      </c>
      <c r="I63" s="20"/>
      <c r="J63" s="21"/>
      <c r="K63" s="21"/>
    </row>
    <row r="64" spans="1:11" ht="15.75" thickBot="1" x14ac:dyDescent="0.3">
      <c r="A64" s="33" t="s">
        <v>22</v>
      </c>
      <c r="B64" s="21"/>
      <c r="C64" s="21"/>
      <c r="D64" s="20"/>
      <c r="E64" s="20"/>
      <c r="F64" s="20"/>
      <c r="G64" s="20"/>
      <c r="H64" s="20"/>
      <c r="I64" s="20"/>
      <c r="J64" s="21"/>
      <c r="K64" s="21"/>
    </row>
    <row r="65" spans="1:11" ht="116.25" customHeight="1" thickBot="1" x14ac:dyDescent="0.3">
      <c r="A65" s="33" t="s">
        <v>47</v>
      </c>
      <c r="B65" s="34">
        <v>2650</v>
      </c>
      <c r="C65" s="34">
        <v>400</v>
      </c>
      <c r="D65" s="20"/>
      <c r="E65" s="20"/>
      <c r="F65" s="20"/>
      <c r="G65" s="20"/>
      <c r="H65" s="20"/>
      <c r="I65" s="20"/>
      <c r="J65" s="21"/>
      <c r="K65" s="21"/>
    </row>
    <row r="66" spans="1:11" x14ac:dyDescent="0.25">
      <c r="A66" s="38" t="s">
        <v>14</v>
      </c>
      <c r="B66" s="450">
        <v>2651</v>
      </c>
      <c r="C66" s="450">
        <v>406</v>
      </c>
      <c r="D66" s="473"/>
      <c r="E66" s="473"/>
      <c r="F66" s="473"/>
      <c r="G66" s="473"/>
      <c r="H66" s="473"/>
      <c r="I66" s="473"/>
      <c r="J66" s="477"/>
      <c r="K66" s="477"/>
    </row>
    <row r="67" spans="1:11" ht="92.25" customHeight="1" thickBot="1" x14ac:dyDescent="0.3">
      <c r="A67" s="33" t="s">
        <v>48</v>
      </c>
      <c r="B67" s="451"/>
      <c r="C67" s="451"/>
      <c r="D67" s="474"/>
      <c r="E67" s="474"/>
      <c r="F67" s="474"/>
      <c r="G67" s="474"/>
      <c r="H67" s="474"/>
      <c r="I67" s="474"/>
      <c r="J67" s="478"/>
      <c r="K67" s="478"/>
    </row>
    <row r="68" spans="1:11" ht="107.25" customHeight="1" thickBot="1" x14ac:dyDescent="0.3">
      <c r="A68" s="33" t="s">
        <v>49</v>
      </c>
      <c r="B68" s="34">
        <v>2652</v>
      </c>
      <c r="C68" s="34">
        <v>407</v>
      </c>
      <c r="D68" s="44"/>
      <c r="E68" s="20"/>
      <c r="F68" s="20"/>
      <c r="G68" s="20"/>
      <c r="H68" s="20"/>
      <c r="I68" s="20"/>
      <c r="J68" s="21"/>
      <c r="K68" s="21"/>
    </row>
    <row r="69" spans="1:11" ht="63.75" customHeight="1" thickBot="1" x14ac:dyDescent="0.3">
      <c r="A69" s="37" t="s">
        <v>50</v>
      </c>
      <c r="B69" s="34">
        <v>3000</v>
      </c>
      <c r="C69" s="45">
        <v>100</v>
      </c>
      <c r="D69" s="46"/>
      <c r="E69" s="22"/>
      <c r="F69" s="47"/>
      <c r="G69" s="22"/>
      <c r="H69" s="47"/>
      <c r="I69" s="22"/>
      <c r="J69" s="452" t="s">
        <v>11</v>
      </c>
      <c r="K69" s="453"/>
    </row>
    <row r="70" spans="1:11" x14ac:dyDescent="0.25">
      <c r="A70" s="38" t="s">
        <v>14</v>
      </c>
      <c r="B70" s="450">
        <v>3010</v>
      </c>
      <c r="C70" s="479"/>
      <c r="D70" s="454"/>
      <c r="E70" s="456"/>
      <c r="F70" s="458"/>
      <c r="G70" s="456"/>
      <c r="H70" s="458"/>
      <c r="I70" s="456"/>
      <c r="J70" s="467" t="s">
        <v>11</v>
      </c>
      <c r="K70" s="468"/>
    </row>
    <row r="71" spans="1:11" ht="35.25" customHeight="1" thickBot="1" x14ac:dyDescent="0.3">
      <c r="A71" s="37" t="s">
        <v>51</v>
      </c>
      <c r="B71" s="451"/>
      <c r="C71" s="480"/>
      <c r="D71" s="455"/>
      <c r="E71" s="457"/>
      <c r="F71" s="459"/>
      <c r="G71" s="457"/>
      <c r="H71" s="459"/>
      <c r="I71" s="457"/>
      <c r="J71" s="469"/>
      <c r="K71" s="470"/>
    </row>
    <row r="72" spans="1:11" ht="60.75" customHeight="1" thickBot="1" x14ac:dyDescent="0.3">
      <c r="A72" s="37" t="s">
        <v>52</v>
      </c>
      <c r="B72" s="34">
        <v>3020</v>
      </c>
      <c r="C72" s="21"/>
      <c r="D72" s="48"/>
      <c r="E72" s="44"/>
      <c r="F72" s="47"/>
      <c r="G72" s="49"/>
      <c r="H72" s="50"/>
      <c r="I72" s="22"/>
      <c r="J72" s="452" t="s">
        <v>11</v>
      </c>
      <c r="K72" s="453"/>
    </row>
    <row r="73" spans="1:11" ht="60.75" customHeight="1" thickBot="1" x14ac:dyDescent="0.3">
      <c r="A73" s="51" t="s">
        <v>31</v>
      </c>
      <c r="B73" s="34">
        <v>2200</v>
      </c>
      <c r="C73" s="323">
        <v>300</v>
      </c>
      <c r="D73" s="52">
        <f>D74</f>
        <v>98000</v>
      </c>
      <c r="E73" s="22"/>
      <c r="F73" s="53">
        <f>F74</f>
        <v>98000</v>
      </c>
      <c r="G73" s="22"/>
      <c r="H73" s="53">
        <f>H74</f>
        <v>98000</v>
      </c>
      <c r="I73" s="22"/>
      <c r="J73" s="452"/>
      <c r="K73" s="453"/>
    </row>
    <row r="74" spans="1:11" ht="60.75" customHeight="1" thickBot="1" x14ac:dyDescent="0.3">
      <c r="A74" s="51" t="s">
        <v>89</v>
      </c>
      <c r="B74" s="314">
        <v>2211</v>
      </c>
      <c r="C74" s="324">
        <v>321</v>
      </c>
      <c r="D74" s="54">
        <v>98000</v>
      </c>
      <c r="E74" s="20"/>
      <c r="F74" s="53">
        <v>98000</v>
      </c>
      <c r="G74" s="22"/>
      <c r="H74" s="55">
        <v>98000</v>
      </c>
      <c r="I74" s="22"/>
      <c r="J74" s="452"/>
      <c r="K74" s="453"/>
    </row>
    <row r="75" spans="1:11" ht="60.75" customHeight="1" thickBot="1" x14ac:dyDescent="0.3">
      <c r="A75" s="37" t="s">
        <v>53</v>
      </c>
      <c r="B75" s="34">
        <v>3030</v>
      </c>
      <c r="C75" s="21"/>
      <c r="D75" s="56"/>
      <c r="E75" s="20"/>
      <c r="F75" s="47"/>
      <c r="G75" s="22"/>
      <c r="H75" s="47"/>
      <c r="I75" s="22"/>
      <c r="J75" s="452" t="s">
        <v>11</v>
      </c>
      <c r="K75" s="453"/>
    </row>
    <row r="76" spans="1:11" ht="15.75" thickBot="1" x14ac:dyDescent="0.3">
      <c r="A76" s="37" t="s">
        <v>54</v>
      </c>
      <c r="B76" s="34">
        <v>4000</v>
      </c>
      <c r="C76" s="34" t="s">
        <v>11</v>
      </c>
      <c r="D76" s="481"/>
      <c r="E76" s="482"/>
      <c r="F76" s="481"/>
      <c r="G76" s="482"/>
      <c r="H76" s="481"/>
      <c r="I76" s="482"/>
      <c r="J76" s="452" t="s">
        <v>11</v>
      </c>
      <c r="K76" s="453"/>
    </row>
    <row r="77" spans="1:11" x14ac:dyDescent="0.25">
      <c r="A77" s="38" t="s">
        <v>22</v>
      </c>
      <c r="B77" s="450">
        <v>4010</v>
      </c>
      <c r="C77" s="450">
        <v>610</v>
      </c>
      <c r="D77" s="458"/>
      <c r="E77" s="456"/>
      <c r="F77" s="458"/>
      <c r="G77" s="485"/>
      <c r="H77" s="485"/>
      <c r="I77" s="485"/>
      <c r="J77" s="483" t="s">
        <v>11</v>
      </c>
      <c r="K77" s="468"/>
    </row>
    <row r="78" spans="1:11" ht="71.25" customHeight="1" thickBot="1" x14ac:dyDescent="0.3">
      <c r="A78" s="33" t="s">
        <v>55</v>
      </c>
      <c r="B78" s="451"/>
      <c r="C78" s="451"/>
      <c r="D78" s="459"/>
      <c r="E78" s="457"/>
      <c r="F78" s="459"/>
      <c r="G78" s="486"/>
      <c r="H78" s="486"/>
      <c r="I78" s="486"/>
      <c r="J78" s="484"/>
      <c r="K78" s="470"/>
    </row>
    <row r="80" spans="1:11" ht="15.75" customHeight="1" x14ac:dyDescent="0.25"/>
    <row r="81" spans="1:9" s="3" customFormat="1" ht="63.75" customHeight="1" x14ac:dyDescent="0.25">
      <c r="A81" s="446"/>
      <c r="B81" s="446"/>
      <c r="C81" s="449"/>
      <c r="D81" s="449"/>
      <c r="E81" s="449"/>
      <c r="F81" s="449"/>
      <c r="G81" s="449"/>
      <c r="H81" s="15"/>
      <c r="I81" s="15"/>
    </row>
    <row r="82" spans="1:9" s="3" customFormat="1" x14ac:dyDescent="0.25">
      <c r="A82" s="4"/>
      <c r="B82" s="4"/>
      <c r="D82" s="15"/>
      <c r="E82" s="15"/>
      <c r="F82" s="15"/>
      <c r="G82" s="15"/>
      <c r="H82" s="15"/>
      <c r="I82" s="15"/>
    </row>
    <row r="83" spans="1:9" s="3" customFormat="1" ht="15.75" x14ac:dyDescent="0.25">
      <c r="A83" s="448"/>
      <c r="B83" s="448"/>
      <c r="C83" s="449"/>
      <c r="D83" s="449"/>
      <c r="E83" s="449"/>
      <c r="F83" s="449"/>
      <c r="G83" s="15"/>
      <c r="H83" s="15"/>
      <c r="I83" s="15"/>
    </row>
    <row r="84" spans="1:9" s="3" customFormat="1" x14ac:dyDescent="0.25">
      <c r="A84" s="4"/>
      <c r="B84" s="4"/>
      <c r="D84" s="15"/>
      <c r="E84" s="15"/>
      <c r="F84" s="15"/>
      <c r="G84" s="15"/>
      <c r="H84" s="15"/>
      <c r="I84" s="15"/>
    </row>
    <row r="85" spans="1:9" s="3" customFormat="1" x14ac:dyDescent="0.25">
      <c r="A85" s="447"/>
      <c r="B85" s="447"/>
      <c r="C85" s="447"/>
      <c r="D85" s="447"/>
      <c r="E85" s="447"/>
      <c r="F85" s="447"/>
      <c r="G85" s="15"/>
      <c r="H85" s="15"/>
      <c r="I85" s="15"/>
    </row>
    <row r="86" spans="1:9" s="3" customFormat="1" ht="15.75" x14ac:dyDescent="0.25">
      <c r="A86" s="448"/>
      <c r="B86" s="448"/>
      <c r="C86" s="448"/>
      <c r="D86" s="448"/>
      <c r="E86" s="448"/>
      <c r="F86" s="15"/>
      <c r="G86" s="15"/>
      <c r="H86" s="15"/>
      <c r="I86" s="15"/>
    </row>
    <row r="87" spans="1:9" s="3" customFormat="1" ht="15.75" x14ac:dyDescent="0.25">
      <c r="A87" s="1"/>
      <c r="D87" s="15"/>
      <c r="E87" s="15"/>
      <c r="F87" s="15"/>
      <c r="G87" s="15"/>
      <c r="H87" s="15"/>
      <c r="I87" s="15"/>
    </row>
    <row r="88" spans="1:9" s="3" customFormat="1" ht="15.75" x14ac:dyDescent="0.25">
      <c r="A88" s="448"/>
      <c r="B88" s="448"/>
      <c r="D88" s="15"/>
      <c r="E88" s="15"/>
      <c r="F88" s="15"/>
      <c r="G88" s="15"/>
      <c r="H88" s="15"/>
      <c r="I88" s="15"/>
    </row>
    <row r="89" spans="1:9" s="3" customFormat="1" ht="15.75" x14ac:dyDescent="0.25">
      <c r="A89" s="1"/>
      <c r="D89" s="15"/>
      <c r="E89" s="15"/>
      <c r="F89" s="15"/>
      <c r="G89" s="15"/>
      <c r="H89" s="15"/>
      <c r="I89" s="15"/>
    </row>
    <row r="90" spans="1:9" s="3" customFormat="1" ht="55.5" customHeight="1" x14ac:dyDescent="0.25">
      <c r="A90" s="446"/>
      <c r="B90" s="446"/>
      <c r="C90" s="449"/>
      <c r="D90" s="449"/>
      <c r="E90" s="449"/>
      <c r="F90" s="449"/>
      <c r="G90" s="15"/>
      <c r="H90" s="15"/>
      <c r="I90" s="15"/>
    </row>
    <row r="91" spans="1:9" s="3" customFormat="1" x14ac:dyDescent="0.25">
      <c r="A91" s="447"/>
      <c r="B91" s="447"/>
      <c r="C91" s="447"/>
      <c r="D91" s="447"/>
      <c r="E91" s="447"/>
      <c r="F91" s="15"/>
      <c r="G91" s="15"/>
      <c r="H91" s="15"/>
      <c r="I91" s="15"/>
    </row>
    <row r="92" spans="1:9" s="3" customFormat="1" ht="15.75" x14ac:dyDescent="0.25">
      <c r="A92" s="1"/>
      <c r="D92" s="15"/>
      <c r="E92" s="15"/>
      <c r="F92" s="15"/>
      <c r="G92" s="15"/>
      <c r="H92" s="15"/>
      <c r="I92" s="15"/>
    </row>
    <row r="93" spans="1:9" s="3" customFormat="1" ht="15.75" x14ac:dyDescent="0.25">
      <c r="A93" s="448"/>
      <c r="B93" s="448"/>
      <c r="C93" s="448"/>
      <c r="D93" s="448"/>
      <c r="E93" s="448"/>
      <c r="F93" s="15"/>
      <c r="G93" s="15"/>
      <c r="H93" s="15"/>
      <c r="I93" s="15"/>
    </row>
    <row r="94" spans="1:9" s="3" customFormat="1" ht="15.75" x14ac:dyDescent="0.25">
      <c r="A94" s="1"/>
      <c r="D94" s="15"/>
      <c r="E94" s="15"/>
      <c r="F94" s="15"/>
      <c r="G94" s="15"/>
      <c r="H94" s="15"/>
      <c r="I94" s="15"/>
    </row>
  </sheetData>
  <mergeCells count="187">
    <mergeCell ref="B77:B78"/>
    <mergeCell ref="C77:C78"/>
    <mergeCell ref="J77:K78"/>
    <mergeCell ref="D77:D78"/>
    <mergeCell ref="E77:E78"/>
    <mergeCell ref="F77:F78"/>
    <mergeCell ref="G77:G78"/>
    <mergeCell ref="H77:H78"/>
    <mergeCell ref="I77:I78"/>
    <mergeCell ref="J72:K72"/>
    <mergeCell ref="J75:K75"/>
    <mergeCell ref="B70:B71"/>
    <mergeCell ref="C70:C71"/>
    <mergeCell ref="J70:K71"/>
    <mergeCell ref="D76:E76"/>
    <mergeCell ref="F76:G76"/>
    <mergeCell ref="H76:I76"/>
    <mergeCell ref="J76:K76"/>
    <mergeCell ref="J74:K74"/>
    <mergeCell ref="J66:J67"/>
    <mergeCell ref="K66:K67"/>
    <mergeCell ref="J69:K69"/>
    <mergeCell ref="J58:J59"/>
    <mergeCell ref="K58:K59"/>
    <mergeCell ref="B66:B67"/>
    <mergeCell ref="C66:C67"/>
    <mergeCell ref="D66:D67"/>
    <mergeCell ref="E66:E67"/>
    <mergeCell ref="F66:F67"/>
    <mergeCell ref="G66:G67"/>
    <mergeCell ref="H66:H67"/>
    <mergeCell ref="I66:I67"/>
    <mergeCell ref="J55:K55"/>
    <mergeCell ref="J56:K56"/>
    <mergeCell ref="B58:B59"/>
    <mergeCell ref="C58:C59"/>
    <mergeCell ref="D58:D59"/>
    <mergeCell ref="E58:E59"/>
    <mergeCell ref="F58:F59"/>
    <mergeCell ref="G58:G59"/>
    <mergeCell ref="H58:H59"/>
    <mergeCell ref="I58:I59"/>
    <mergeCell ref="H51:H52"/>
    <mergeCell ref="I51:I52"/>
    <mergeCell ref="J51:K52"/>
    <mergeCell ref="J53:K53"/>
    <mergeCell ref="J54:K54"/>
    <mergeCell ref="I46:I47"/>
    <mergeCell ref="J46:K47"/>
    <mergeCell ref="J48:K48"/>
    <mergeCell ref="J49:K49"/>
    <mergeCell ref="J50:K50"/>
    <mergeCell ref="J42:K42"/>
    <mergeCell ref="J43:K43"/>
    <mergeCell ref="B44:B45"/>
    <mergeCell ref="C44:C45"/>
    <mergeCell ref="D44:D45"/>
    <mergeCell ref="E44:E45"/>
    <mergeCell ref="F44:F45"/>
    <mergeCell ref="G44:G45"/>
    <mergeCell ref="B51:B52"/>
    <mergeCell ref="C51:C52"/>
    <mergeCell ref="D51:D52"/>
    <mergeCell ref="E51:E52"/>
    <mergeCell ref="F51:F52"/>
    <mergeCell ref="H44:H45"/>
    <mergeCell ref="I44:I45"/>
    <mergeCell ref="J44:K45"/>
    <mergeCell ref="B46:B47"/>
    <mergeCell ref="C46:C47"/>
    <mergeCell ref="D46:D47"/>
    <mergeCell ref="E46:E47"/>
    <mergeCell ref="F46:F47"/>
    <mergeCell ref="G46:G47"/>
    <mergeCell ref="H46:H47"/>
    <mergeCell ref="G51:G52"/>
    <mergeCell ref="B40:B41"/>
    <mergeCell ref="C40:C41"/>
    <mergeCell ref="D40:D41"/>
    <mergeCell ref="E40:E41"/>
    <mergeCell ref="F40:F41"/>
    <mergeCell ref="G40:G41"/>
    <mergeCell ref="H40:H41"/>
    <mergeCell ref="I40:I41"/>
    <mergeCell ref="J40:K41"/>
    <mergeCell ref="K33:K34"/>
    <mergeCell ref="B35:B36"/>
    <mergeCell ref="C35:C36"/>
    <mergeCell ref="D35:D36"/>
    <mergeCell ref="E35:E36"/>
    <mergeCell ref="F35:F36"/>
    <mergeCell ref="G35:G36"/>
    <mergeCell ref="H35:H36"/>
    <mergeCell ref="I35:I3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24:K25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11:K12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A1:A4"/>
    <mergeCell ref="B1:B4"/>
    <mergeCell ref="C1:C4"/>
    <mergeCell ref="D1:K1"/>
    <mergeCell ref="D2:E2"/>
    <mergeCell ref="F2:G2"/>
    <mergeCell ref="H2:I2"/>
    <mergeCell ref="J2:K3"/>
    <mergeCell ref="D3:E3"/>
    <mergeCell ref="F3:G3"/>
    <mergeCell ref="H3:I3"/>
    <mergeCell ref="A90:B90"/>
    <mergeCell ref="A91:E91"/>
    <mergeCell ref="A93:E93"/>
    <mergeCell ref="C81:G81"/>
    <mergeCell ref="C83:F83"/>
    <mergeCell ref="C90:F90"/>
    <mergeCell ref="J6:J7"/>
    <mergeCell ref="K6:K7"/>
    <mergeCell ref="A81:B81"/>
    <mergeCell ref="A83:B83"/>
    <mergeCell ref="A85:F85"/>
    <mergeCell ref="A86:E86"/>
    <mergeCell ref="A88:B88"/>
    <mergeCell ref="A35:A36"/>
    <mergeCell ref="J73:K73"/>
    <mergeCell ref="D70:D71"/>
    <mergeCell ref="E70:E71"/>
    <mergeCell ref="F70:F71"/>
    <mergeCell ref="G70:G71"/>
    <mergeCell ref="I70:I71"/>
    <mergeCell ref="H70:H71"/>
    <mergeCell ref="J35:J36"/>
    <mergeCell ref="K35:K36"/>
    <mergeCell ref="B9:B10"/>
  </mergeCells>
  <hyperlinks>
    <hyperlink ref="C1" location="Par998" display="Par998"/>
    <hyperlink ref="A6" location="Par1004" display="Par1004"/>
    <hyperlink ref="A7" location="Par1004" display="Par1004"/>
    <hyperlink ref="A29" location="Par1005" display="Par1005"/>
    <hyperlink ref="A57" location="Par1006" display="Par1006"/>
    <hyperlink ref="A69" location="Par1007" display="Par1007"/>
    <hyperlink ref="A71" location="Par1007" display="Par1007"/>
    <hyperlink ref="A72" location="Par1007" display="Par1007"/>
    <hyperlink ref="A75" location="Par1007" display="Par1007"/>
    <hyperlink ref="A76" location="Par1008" display="Par1008"/>
  </hyperlink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view="pageBreakPreview" zoomScaleSheetLayoutView="100" workbookViewId="0">
      <selection activeCell="V39" sqref="V39"/>
    </sheetView>
  </sheetViews>
  <sheetFormatPr defaultRowHeight="15" x14ac:dyDescent="0.25"/>
  <sheetData>
    <row r="1" spans="1:13" x14ac:dyDescent="0.25">
      <c r="A1" s="360"/>
      <c r="B1" s="360"/>
      <c r="C1" s="360"/>
      <c r="D1" s="582" t="s">
        <v>555</v>
      </c>
      <c r="E1" s="582"/>
      <c r="F1" s="582"/>
      <c r="G1" s="582"/>
      <c r="H1" s="582"/>
      <c r="I1" s="582"/>
      <c r="J1" s="582"/>
      <c r="K1" s="582"/>
      <c r="L1" s="582"/>
      <c r="M1" s="582"/>
    </row>
    <row r="2" spans="1:13" x14ac:dyDescent="0.25">
      <c r="A2" s="360" t="s">
        <v>254</v>
      </c>
      <c r="B2" s="360"/>
      <c r="C2" s="360"/>
      <c r="D2" s="127"/>
      <c r="E2" s="127"/>
      <c r="F2" s="583" t="s">
        <v>556</v>
      </c>
      <c r="G2" s="583"/>
      <c r="H2" s="583"/>
      <c r="I2" s="583"/>
      <c r="J2" s="128"/>
      <c r="K2" s="128"/>
      <c r="L2" s="128"/>
      <c r="M2" s="360"/>
    </row>
    <row r="3" spans="1:13" x14ac:dyDescent="0.25">
      <c r="A3" s="360" t="s">
        <v>256</v>
      </c>
      <c r="B3" s="360"/>
      <c r="C3" s="360"/>
      <c r="D3" s="360"/>
      <c r="E3" s="360"/>
      <c r="F3" s="584" t="s">
        <v>526</v>
      </c>
      <c r="G3" s="584"/>
      <c r="H3" s="584"/>
      <c r="I3" s="584"/>
      <c r="J3" s="128"/>
      <c r="K3" s="128"/>
      <c r="L3" s="128"/>
      <c r="M3" s="360"/>
    </row>
    <row r="4" spans="1:13" x14ac:dyDescent="0.25">
      <c r="A4" s="585" t="s">
        <v>258</v>
      </c>
      <c r="B4" s="585"/>
      <c r="C4" s="585"/>
      <c r="D4" s="585"/>
      <c r="E4" s="585"/>
      <c r="F4" s="359"/>
      <c r="G4" s="359"/>
      <c r="H4" s="359"/>
      <c r="I4" s="359"/>
      <c r="J4" s="128"/>
      <c r="K4" s="128"/>
      <c r="L4" s="128"/>
      <c r="M4" s="360"/>
    </row>
    <row r="5" spans="1:13" x14ac:dyDescent="0.25">
      <c r="A5" s="360" t="s">
        <v>557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</row>
    <row r="6" spans="1:13" ht="54" x14ac:dyDescent="0.25">
      <c r="A6" s="361" t="s">
        <v>261</v>
      </c>
      <c r="B6" s="655" t="s">
        <v>153</v>
      </c>
      <c r="C6" s="656"/>
      <c r="D6" s="656"/>
      <c r="E6" s="656"/>
      <c r="F6" s="657"/>
      <c r="G6" s="361" t="s">
        <v>558</v>
      </c>
      <c r="H6" s="363" t="s">
        <v>447</v>
      </c>
      <c r="I6" s="361" t="s">
        <v>264</v>
      </c>
      <c r="J6" s="132"/>
      <c r="K6" s="132"/>
      <c r="L6" s="132"/>
      <c r="M6" s="132"/>
    </row>
    <row r="7" spans="1:13" x14ac:dyDescent="0.25">
      <c r="A7" s="133">
        <v>1</v>
      </c>
      <c r="B7" s="587">
        <v>2</v>
      </c>
      <c r="C7" s="588"/>
      <c r="D7" s="588"/>
      <c r="E7" s="588"/>
      <c r="F7" s="589"/>
      <c r="G7" s="133">
        <v>3</v>
      </c>
      <c r="H7" s="362">
        <v>4</v>
      </c>
      <c r="I7" s="133">
        <v>5</v>
      </c>
      <c r="J7" s="127"/>
      <c r="K7" s="127"/>
      <c r="L7" s="127"/>
      <c r="M7" s="127"/>
    </row>
    <row r="8" spans="1:13" ht="15.75" x14ac:dyDescent="0.25">
      <c r="A8" s="364">
        <v>1</v>
      </c>
      <c r="B8" s="682" t="s">
        <v>559</v>
      </c>
      <c r="C8" s="683"/>
      <c r="D8" s="683"/>
      <c r="E8" s="683"/>
      <c r="F8" s="684"/>
      <c r="G8" s="365">
        <v>1</v>
      </c>
      <c r="H8" s="366">
        <v>0</v>
      </c>
      <c r="I8" s="367">
        <v>0</v>
      </c>
      <c r="J8" s="368"/>
      <c r="K8" s="368"/>
      <c r="L8" s="681"/>
      <c r="M8" s="681"/>
    </row>
    <row r="9" spans="1:13" ht="15.75" x14ac:dyDescent="0.25">
      <c r="A9" s="364"/>
      <c r="B9" s="682"/>
      <c r="C9" s="683"/>
      <c r="D9" s="683"/>
      <c r="E9" s="683"/>
      <c r="F9" s="684"/>
      <c r="G9" s="365">
        <v>0</v>
      </c>
      <c r="H9" s="366">
        <v>0</v>
      </c>
      <c r="I9" s="369"/>
      <c r="J9" s="368"/>
      <c r="K9" s="368"/>
      <c r="L9" s="370"/>
      <c r="M9" s="370"/>
    </row>
    <row r="10" spans="1:13" x14ac:dyDescent="0.25">
      <c r="A10" s="360"/>
      <c r="B10" s="360"/>
      <c r="C10" s="360"/>
      <c r="D10" s="360"/>
      <c r="E10" s="360"/>
      <c r="F10" s="360"/>
      <c r="G10" s="360"/>
      <c r="H10" s="371" t="s">
        <v>266</v>
      </c>
      <c r="I10" s="372">
        <f>I8</f>
        <v>0</v>
      </c>
      <c r="J10" s="373"/>
      <c r="K10" s="373"/>
      <c r="L10" s="373"/>
      <c r="M10" s="360"/>
    </row>
    <row r="11" spans="1:13" ht="12.75" customHeight="1" x14ac:dyDescent="0.25">
      <c r="A11" s="234"/>
      <c r="B11" s="245"/>
      <c r="C11" s="245"/>
      <c r="D11" s="245"/>
      <c r="E11" s="245"/>
      <c r="F11" s="245"/>
      <c r="G11" s="234"/>
      <c r="H11" s="234"/>
      <c r="I11" s="374"/>
      <c r="J11" s="374"/>
      <c r="K11" s="374"/>
      <c r="L11" s="374"/>
      <c r="M11" s="374"/>
    </row>
    <row r="12" spans="1:13" hidden="1" x14ac:dyDescent="0.25">
      <c r="A12" s="234"/>
      <c r="B12" s="245"/>
      <c r="C12" s="245"/>
      <c r="D12" s="245"/>
      <c r="E12" s="245"/>
      <c r="F12" s="245"/>
      <c r="G12" s="234"/>
      <c r="H12" s="234"/>
      <c r="I12" s="374"/>
      <c r="J12" s="374"/>
      <c r="K12" s="374"/>
      <c r="L12" s="374"/>
      <c r="M12" s="374"/>
    </row>
    <row r="13" spans="1:13" hidden="1" x14ac:dyDescent="0.25">
      <c r="A13" s="234"/>
      <c r="B13" s="245"/>
      <c r="C13" s="245"/>
      <c r="D13" s="245"/>
      <c r="E13" s="245"/>
      <c r="F13" s="245"/>
      <c r="G13" s="234"/>
      <c r="H13" s="234"/>
      <c r="I13" s="374"/>
      <c r="J13" s="374"/>
      <c r="K13" s="374"/>
      <c r="L13" s="374"/>
      <c r="M13" s="374"/>
    </row>
    <row r="14" spans="1:13" hidden="1" x14ac:dyDescent="0.25">
      <c r="A14" s="234"/>
      <c r="B14" s="245"/>
      <c r="C14" s="245"/>
      <c r="D14" s="245"/>
      <c r="E14" s="245"/>
      <c r="F14" s="245"/>
      <c r="G14" s="234"/>
      <c r="H14" s="234"/>
      <c r="I14" s="374"/>
      <c r="J14" s="374"/>
      <c r="K14" s="374"/>
      <c r="L14" s="374"/>
      <c r="M14" s="374"/>
    </row>
    <row r="15" spans="1:13" hidden="1" x14ac:dyDescent="0.25">
      <c r="A15" s="234"/>
      <c r="B15" s="245"/>
      <c r="C15" s="245"/>
      <c r="D15" s="245"/>
      <c r="E15" s="245"/>
      <c r="F15" s="245"/>
      <c r="G15" s="234"/>
      <c r="H15" s="234"/>
      <c r="I15" s="374"/>
      <c r="J15" s="374"/>
      <c r="K15" s="374"/>
      <c r="L15" s="374"/>
      <c r="M15" s="374"/>
    </row>
    <row r="16" spans="1:13" hidden="1" x14ac:dyDescent="0.25">
      <c r="A16" s="234"/>
      <c r="B16" s="245"/>
      <c r="C16" s="245"/>
      <c r="D16" s="245"/>
      <c r="E16" s="245"/>
      <c r="F16" s="245"/>
      <c r="G16" s="234"/>
      <c r="H16" s="234"/>
      <c r="I16" s="374"/>
      <c r="J16" s="374"/>
      <c r="K16" s="374"/>
      <c r="L16" s="374"/>
      <c r="M16" s="374"/>
    </row>
    <row r="17" spans="1:13" hidden="1" x14ac:dyDescent="0.25">
      <c r="A17" s="234"/>
      <c r="B17" s="245"/>
      <c r="C17" s="245"/>
      <c r="D17" s="245"/>
      <c r="E17" s="245"/>
      <c r="F17" s="245"/>
      <c r="G17" s="234"/>
      <c r="H17" s="234"/>
      <c r="I17" s="374"/>
      <c r="J17" s="374"/>
      <c r="K17" s="374"/>
      <c r="L17" s="374"/>
      <c r="M17" s="374"/>
    </row>
    <row r="18" spans="1:13" x14ac:dyDescent="0.25">
      <c r="A18" s="360"/>
      <c r="B18" s="360"/>
      <c r="C18" s="360"/>
      <c r="D18" s="360"/>
      <c r="E18" s="360"/>
      <c r="F18" s="360"/>
      <c r="G18" s="360"/>
      <c r="H18" s="140"/>
      <c r="I18" s="373"/>
      <c r="J18" s="373"/>
      <c r="K18" s="373"/>
      <c r="L18" s="373"/>
      <c r="M18" s="375"/>
    </row>
    <row r="19" spans="1:13" x14ac:dyDescent="0.25">
      <c r="A19" s="360"/>
      <c r="B19" s="360"/>
      <c r="C19" s="360"/>
      <c r="D19" s="582" t="s">
        <v>555</v>
      </c>
      <c r="E19" s="582"/>
      <c r="F19" s="582"/>
      <c r="G19" s="582"/>
      <c r="H19" s="582"/>
      <c r="I19" s="582"/>
      <c r="J19" s="582"/>
      <c r="K19" s="582"/>
      <c r="L19" s="582"/>
      <c r="M19" s="582"/>
    </row>
    <row r="20" spans="1:13" x14ac:dyDescent="0.25">
      <c r="A20" s="360" t="s">
        <v>254</v>
      </c>
      <c r="B20" s="360"/>
      <c r="C20" s="360"/>
      <c r="D20" s="127"/>
      <c r="E20" s="127"/>
      <c r="F20" s="583" t="s">
        <v>560</v>
      </c>
      <c r="G20" s="583"/>
      <c r="H20" s="583"/>
      <c r="I20" s="583"/>
      <c r="J20" s="128"/>
      <c r="K20" s="128"/>
      <c r="L20" s="128"/>
      <c r="M20" s="360"/>
    </row>
    <row r="21" spans="1:13" x14ac:dyDescent="0.25">
      <c r="A21" s="360" t="s">
        <v>256</v>
      </c>
      <c r="B21" s="360"/>
      <c r="C21" s="360"/>
      <c r="D21" s="360"/>
      <c r="E21" s="360"/>
      <c r="F21" s="584" t="s">
        <v>526</v>
      </c>
      <c r="G21" s="584"/>
      <c r="H21" s="584"/>
      <c r="I21" s="584"/>
      <c r="J21" s="128"/>
      <c r="K21" s="128"/>
      <c r="L21" s="128"/>
      <c r="M21" s="360"/>
    </row>
    <row r="22" spans="1:13" x14ac:dyDescent="0.25">
      <c r="A22" s="585" t="s">
        <v>258</v>
      </c>
      <c r="B22" s="585"/>
      <c r="C22" s="585"/>
      <c r="D22" s="585"/>
      <c r="E22" s="585"/>
      <c r="F22" s="359"/>
      <c r="G22" s="359"/>
      <c r="H22" s="359"/>
      <c r="I22" s="359"/>
      <c r="J22" s="128"/>
      <c r="K22" s="128"/>
      <c r="L22" s="128"/>
      <c r="M22" s="360"/>
    </row>
    <row r="23" spans="1:13" x14ac:dyDescent="0.25">
      <c r="A23" s="360"/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</row>
    <row r="24" spans="1:13" ht="54" x14ac:dyDescent="0.25">
      <c r="A24" s="361" t="s">
        <v>261</v>
      </c>
      <c r="B24" s="655" t="s">
        <v>153</v>
      </c>
      <c r="C24" s="656"/>
      <c r="D24" s="656"/>
      <c r="E24" s="656"/>
      <c r="F24" s="657"/>
      <c r="G24" s="361" t="s">
        <v>558</v>
      </c>
      <c r="H24" s="363" t="s">
        <v>447</v>
      </c>
      <c r="I24" s="361" t="s">
        <v>264</v>
      </c>
      <c r="J24" s="132"/>
      <c r="K24" s="132"/>
      <c r="L24" s="132"/>
      <c r="M24" s="132"/>
    </row>
    <row r="25" spans="1:13" x14ac:dyDescent="0.25">
      <c r="A25" s="133">
        <v>1</v>
      </c>
      <c r="B25" s="587">
        <v>2</v>
      </c>
      <c r="C25" s="588"/>
      <c r="D25" s="588"/>
      <c r="E25" s="588"/>
      <c r="F25" s="589"/>
      <c r="G25" s="133">
        <v>3</v>
      </c>
      <c r="H25" s="362">
        <v>4</v>
      </c>
      <c r="I25" s="133">
        <v>5</v>
      </c>
      <c r="J25" s="127"/>
      <c r="K25" s="127"/>
      <c r="L25" s="127"/>
      <c r="M25" s="127"/>
    </row>
    <row r="26" spans="1:13" ht="42" customHeight="1" x14ac:dyDescent="0.25">
      <c r="A26" s="364">
        <v>1</v>
      </c>
      <c r="B26" s="678" t="s">
        <v>561</v>
      </c>
      <c r="C26" s="679"/>
      <c r="D26" s="679"/>
      <c r="E26" s="679"/>
      <c r="F26" s="680"/>
      <c r="G26" s="365">
        <v>1</v>
      </c>
      <c r="H26" s="366">
        <v>0</v>
      </c>
      <c r="I26" s="367">
        <f>G26*H26</f>
        <v>0</v>
      </c>
      <c r="J26" s="368"/>
      <c r="K26" s="368"/>
      <c r="L26" s="681"/>
      <c r="M26" s="681"/>
    </row>
    <row r="27" spans="1:13" x14ac:dyDescent="0.25">
      <c r="A27" s="360"/>
      <c r="B27" s="360"/>
      <c r="C27" s="360"/>
      <c r="D27" s="360"/>
      <c r="E27" s="360"/>
      <c r="F27" s="360"/>
      <c r="G27" s="360"/>
      <c r="H27" s="371" t="s">
        <v>266</v>
      </c>
      <c r="I27" s="372">
        <f>I26</f>
        <v>0</v>
      </c>
      <c r="J27" s="373"/>
      <c r="K27" s="373"/>
      <c r="L27" s="373"/>
      <c r="M27" s="360"/>
    </row>
    <row r="28" spans="1:13" x14ac:dyDescent="0.25">
      <c r="A28" s="234"/>
      <c r="B28" s="245"/>
      <c r="C28" s="245"/>
      <c r="D28" s="245"/>
      <c r="E28" s="245"/>
      <c r="F28" s="245"/>
      <c r="G28" s="234"/>
      <c r="H28" s="234"/>
      <c r="I28" s="374"/>
      <c r="J28" s="374"/>
      <c r="K28" s="374"/>
      <c r="L28" s="374"/>
      <c r="M28" s="374"/>
    </row>
    <row r="29" spans="1:13" x14ac:dyDescent="0.25">
      <c r="A29" s="234"/>
      <c r="B29" s="245"/>
      <c r="C29" s="245"/>
      <c r="D29" s="245"/>
      <c r="E29" s="245"/>
      <c r="F29" s="245"/>
      <c r="G29" s="234"/>
      <c r="H29" s="234"/>
      <c r="I29" s="374"/>
      <c r="J29" s="374"/>
      <c r="K29" s="374"/>
      <c r="L29" s="374"/>
      <c r="M29" s="374"/>
    </row>
    <row r="30" spans="1:13" x14ac:dyDescent="0.25">
      <c r="A30" s="234"/>
      <c r="B30" s="245"/>
      <c r="C30" s="245"/>
      <c r="D30" s="245"/>
      <c r="E30" s="245"/>
      <c r="F30" s="245"/>
      <c r="G30" s="234"/>
      <c r="H30" s="234"/>
      <c r="I30" s="374"/>
      <c r="J30" s="374"/>
      <c r="K30" s="374"/>
      <c r="L30" s="374"/>
      <c r="M30" s="374"/>
    </row>
    <row r="32" spans="1:13" x14ac:dyDescent="0.25">
      <c r="A32" s="360"/>
      <c r="B32" s="360"/>
      <c r="C32" s="360"/>
      <c r="D32" s="582" t="s">
        <v>555</v>
      </c>
      <c r="E32" s="582"/>
      <c r="F32" s="582"/>
      <c r="G32" s="582"/>
      <c r="H32" s="582"/>
      <c r="I32" s="582"/>
      <c r="J32" s="582"/>
      <c r="K32" s="582"/>
      <c r="L32" s="582"/>
      <c r="M32" s="582"/>
    </row>
    <row r="33" spans="1:15" x14ac:dyDescent="0.25">
      <c r="A33" s="360" t="s">
        <v>254</v>
      </c>
      <c r="B33" s="360"/>
      <c r="C33" s="360"/>
      <c r="D33" s="127"/>
      <c r="E33" s="127"/>
      <c r="F33" s="583" t="s">
        <v>562</v>
      </c>
      <c r="G33" s="583"/>
      <c r="H33" s="583"/>
      <c r="I33" s="583"/>
      <c r="J33" s="128"/>
      <c r="K33" s="128"/>
      <c r="L33" s="128"/>
      <c r="M33" s="360"/>
    </row>
    <row r="34" spans="1:15" x14ac:dyDescent="0.25">
      <c r="A34" s="360" t="s">
        <v>256</v>
      </c>
      <c r="B34" s="360"/>
      <c r="C34" s="360"/>
      <c r="D34" s="360"/>
      <c r="E34" s="360"/>
      <c r="F34" s="584" t="s">
        <v>526</v>
      </c>
      <c r="G34" s="584"/>
      <c r="H34" s="584"/>
      <c r="I34" s="584"/>
      <c r="J34" s="128"/>
      <c r="K34" s="128"/>
      <c r="L34" s="128"/>
      <c r="M34" s="360"/>
    </row>
    <row r="35" spans="1:15" x14ac:dyDescent="0.25">
      <c r="A35" s="585" t="s">
        <v>258</v>
      </c>
      <c r="B35" s="585"/>
      <c r="C35" s="585"/>
      <c r="D35" s="585"/>
      <c r="E35" s="585"/>
      <c r="F35" s="359"/>
      <c r="G35" s="359"/>
      <c r="H35" s="359"/>
      <c r="I35" s="359"/>
      <c r="J35" s="128"/>
      <c r="K35" s="128"/>
      <c r="L35" s="128"/>
      <c r="M35" s="360"/>
    </row>
    <row r="36" spans="1:15" x14ac:dyDescent="0.25">
      <c r="A36" s="360"/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</row>
    <row r="37" spans="1:15" ht="54" x14ac:dyDescent="0.25">
      <c r="A37" s="361" t="s">
        <v>261</v>
      </c>
      <c r="B37" s="655" t="s">
        <v>153</v>
      </c>
      <c r="C37" s="656"/>
      <c r="D37" s="656"/>
      <c r="E37" s="656"/>
      <c r="F37" s="657"/>
      <c r="G37" s="361" t="s">
        <v>558</v>
      </c>
      <c r="H37" s="363" t="s">
        <v>447</v>
      </c>
      <c r="I37" s="361" t="s">
        <v>264</v>
      </c>
      <c r="J37" s="132"/>
      <c r="K37" s="132"/>
      <c r="L37" s="132"/>
      <c r="M37" s="132"/>
    </row>
    <row r="38" spans="1:15" x14ac:dyDescent="0.25">
      <c r="A38" s="133">
        <v>1</v>
      </c>
      <c r="B38" s="587">
        <v>2</v>
      </c>
      <c r="C38" s="588"/>
      <c r="D38" s="588"/>
      <c r="E38" s="588"/>
      <c r="F38" s="589"/>
      <c r="G38" s="133">
        <v>3</v>
      </c>
      <c r="H38" s="362">
        <v>4</v>
      </c>
      <c r="I38" s="133">
        <v>5</v>
      </c>
      <c r="J38" s="127"/>
      <c r="K38" s="127"/>
      <c r="L38" s="127"/>
      <c r="M38" s="127"/>
    </row>
    <row r="39" spans="1:15" ht="102" customHeight="1" x14ac:dyDescent="0.25">
      <c r="A39" s="364">
        <v>1</v>
      </c>
      <c r="B39" s="678" t="s">
        <v>563</v>
      </c>
      <c r="C39" s="679"/>
      <c r="D39" s="679"/>
      <c r="E39" s="679"/>
      <c r="F39" s="680"/>
      <c r="G39" s="365">
        <v>1</v>
      </c>
      <c r="H39" s="366">
        <v>0</v>
      </c>
      <c r="I39" s="367">
        <v>0</v>
      </c>
      <c r="J39" s="368"/>
      <c r="K39" s="368"/>
      <c r="L39" s="681"/>
      <c r="M39" s="681"/>
    </row>
    <row r="40" spans="1:15" x14ac:dyDescent="0.25">
      <c r="A40" s="360"/>
      <c r="B40" s="360"/>
      <c r="C40" s="360"/>
      <c r="D40" s="360"/>
      <c r="E40" s="360"/>
      <c r="F40" s="360"/>
      <c r="G40" s="360"/>
      <c r="H40" s="371" t="s">
        <v>266</v>
      </c>
      <c r="I40" s="372">
        <f>I39</f>
        <v>0</v>
      </c>
      <c r="J40" s="373"/>
      <c r="K40" s="373"/>
      <c r="L40" s="373"/>
      <c r="M40" s="360"/>
    </row>
    <row r="41" spans="1:15" x14ac:dyDescent="0.25">
      <c r="A41" s="507"/>
      <c r="B41" s="507"/>
      <c r="C41" s="507"/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507"/>
    </row>
    <row r="42" spans="1:15" x14ac:dyDescent="0.25">
      <c r="A42" s="507"/>
      <c r="B42" s="507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</row>
    <row r="43" spans="1:15" x14ac:dyDescent="0.25">
      <c r="A43" s="507"/>
      <c r="B43" s="507"/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</row>
    <row r="44" spans="1:15" x14ac:dyDescent="0.25">
      <c r="A44" s="507"/>
      <c r="B44" s="507"/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</row>
    <row r="45" spans="1:15" x14ac:dyDescent="0.25">
      <c r="A45" s="507"/>
      <c r="B45" s="507"/>
      <c r="C45" s="507"/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</row>
    <row r="46" spans="1:15" x14ac:dyDescent="0.25">
      <c r="A46" s="507"/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</row>
    <row r="47" spans="1:15" x14ac:dyDescent="0.25">
      <c r="A47" s="507"/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</row>
    <row r="48" spans="1:15" x14ac:dyDescent="0.25">
      <c r="A48" s="507"/>
      <c r="B48" s="507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</row>
    <row r="49" spans="1:15" x14ac:dyDescent="0.25">
      <c r="A49" s="507"/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</row>
    <row r="50" spans="1:15" x14ac:dyDescent="0.25">
      <c r="A50" s="507"/>
      <c r="B50" s="507"/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</row>
    <row r="51" spans="1:15" x14ac:dyDescent="0.25">
      <c r="A51" s="507"/>
      <c r="B51" s="507"/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</row>
    <row r="52" spans="1:15" x14ac:dyDescent="0.25">
      <c r="A52" s="507"/>
      <c r="B52" s="507"/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7"/>
    </row>
    <row r="53" spans="1:15" x14ac:dyDescent="0.25">
      <c r="A53" s="507"/>
      <c r="B53" s="507"/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</row>
    <row r="54" spans="1:15" x14ac:dyDescent="0.25">
      <c r="A54" s="507"/>
      <c r="B54" s="507"/>
      <c r="C54" s="507"/>
      <c r="D54" s="507"/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</row>
    <row r="55" spans="1:15" x14ac:dyDescent="0.25">
      <c r="A55" s="507"/>
      <c r="B55" s="507"/>
      <c r="C55" s="507"/>
      <c r="D55" s="507"/>
      <c r="E55" s="507"/>
      <c r="F55" s="507"/>
      <c r="G55" s="507"/>
      <c r="H55" s="507"/>
      <c r="I55" s="507"/>
      <c r="J55" s="507"/>
      <c r="K55" s="507"/>
      <c r="L55" s="507"/>
      <c r="M55" s="507"/>
      <c r="N55" s="507"/>
      <c r="O55" s="507"/>
    </row>
    <row r="56" spans="1:15" x14ac:dyDescent="0.25">
      <c r="A56" s="507"/>
      <c r="B56" s="507"/>
      <c r="C56" s="507"/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7"/>
      <c r="O56" s="507"/>
    </row>
    <row r="57" spans="1:15" x14ac:dyDescent="0.25">
      <c r="A57" s="507"/>
      <c r="B57" s="507"/>
      <c r="C57" s="507"/>
      <c r="D57" s="507"/>
      <c r="E57" s="507"/>
      <c r="F57" s="507"/>
      <c r="G57" s="507"/>
      <c r="H57" s="507"/>
      <c r="I57" s="507"/>
      <c r="J57" s="507"/>
      <c r="K57" s="507"/>
      <c r="L57" s="507"/>
      <c r="M57" s="507"/>
      <c r="N57" s="507"/>
      <c r="O57" s="507"/>
    </row>
    <row r="58" spans="1:15" x14ac:dyDescent="0.25">
      <c r="A58" s="507"/>
      <c r="B58" s="507"/>
      <c r="C58" s="507"/>
      <c r="D58" s="507"/>
      <c r="E58" s="507"/>
      <c r="F58" s="507"/>
      <c r="G58" s="507"/>
      <c r="H58" s="507"/>
      <c r="I58" s="507"/>
      <c r="J58" s="507"/>
      <c r="K58" s="507"/>
      <c r="L58" s="507"/>
      <c r="M58" s="507"/>
      <c r="N58" s="507"/>
      <c r="O58" s="507"/>
    </row>
    <row r="59" spans="1:15" x14ac:dyDescent="0.25">
      <c r="A59" s="507"/>
      <c r="B59" s="507"/>
      <c r="C59" s="507"/>
      <c r="D59" s="507"/>
      <c r="E59" s="507"/>
      <c r="F59" s="507"/>
      <c r="G59" s="507"/>
      <c r="H59" s="507"/>
      <c r="I59" s="507"/>
      <c r="J59" s="507"/>
      <c r="K59" s="507"/>
      <c r="L59" s="507"/>
      <c r="M59" s="507"/>
      <c r="N59" s="507"/>
      <c r="O59" s="507"/>
    </row>
    <row r="60" spans="1:15" x14ac:dyDescent="0.25">
      <c r="A60" s="507"/>
      <c r="B60" s="507"/>
      <c r="C60" s="507"/>
      <c r="D60" s="507"/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507"/>
    </row>
    <row r="61" spans="1:15" x14ac:dyDescent="0.25">
      <c r="A61" s="507"/>
      <c r="B61" s="507"/>
      <c r="C61" s="507"/>
      <c r="D61" s="507"/>
      <c r="E61" s="507"/>
      <c r="F61" s="507"/>
      <c r="G61" s="507"/>
      <c r="H61" s="507"/>
      <c r="I61" s="507"/>
      <c r="J61" s="507"/>
      <c r="K61" s="507"/>
      <c r="L61" s="507"/>
      <c r="M61" s="507"/>
      <c r="N61" s="507"/>
      <c r="O61" s="507"/>
    </row>
    <row r="62" spans="1:15" x14ac:dyDescent="0.25">
      <c r="A62" s="507"/>
      <c r="B62" s="507"/>
      <c r="C62" s="507"/>
      <c r="D62" s="507"/>
      <c r="E62" s="507"/>
      <c r="F62" s="507"/>
      <c r="G62" s="507"/>
      <c r="H62" s="507"/>
      <c r="I62" s="507"/>
      <c r="J62" s="507"/>
      <c r="K62" s="507"/>
      <c r="L62" s="507"/>
      <c r="M62" s="507"/>
      <c r="N62" s="507"/>
      <c r="O62" s="507"/>
    </row>
    <row r="63" spans="1:15" x14ac:dyDescent="0.25">
      <c r="A63" s="507"/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N63" s="507"/>
      <c r="O63" s="507"/>
    </row>
    <row r="64" spans="1:15" x14ac:dyDescent="0.25">
      <c r="A64" s="507"/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</row>
    <row r="65" spans="1:15" x14ac:dyDescent="0.25">
      <c r="A65" s="507"/>
      <c r="B65" s="507"/>
      <c r="C65" s="507"/>
      <c r="D65" s="507"/>
      <c r="E65" s="507"/>
      <c r="F65" s="507"/>
      <c r="G65" s="507"/>
      <c r="H65" s="507"/>
      <c r="I65" s="507"/>
      <c r="J65" s="507"/>
      <c r="K65" s="507"/>
      <c r="L65" s="507"/>
      <c r="M65" s="507"/>
      <c r="N65" s="507"/>
      <c r="O65" s="507"/>
    </row>
    <row r="66" spans="1:15" x14ac:dyDescent="0.25">
      <c r="A66" s="507"/>
      <c r="B66" s="507"/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x14ac:dyDescent="0.25">
      <c r="A67" s="507"/>
      <c r="B67" s="507"/>
      <c r="C67" s="507"/>
      <c r="D67" s="507"/>
      <c r="E67" s="507"/>
      <c r="F67" s="507"/>
      <c r="G67" s="507"/>
      <c r="H67" s="507"/>
      <c r="I67" s="507"/>
      <c r="J67" s="507"/>
      <c r="K67" s="507"/>
      <c r="L67" s="507"/>
      <c r="M67" s="507"/>
      <c r="N67" s="507"/>
      <c r="O67" s="507"/>
    </row>
    <row r="68" spans="1:15" x14ac:dyDescent="0.25">
      <c r="A68" s="507"/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N68" s="507"/>
      <c r="O68" s="507"/>
    </row>
    <row r="69" spans="1:15" x14ac:dyDescent="0.25">
      <c r="A69" s="507"/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N69" s="507"/>
      <c r="O69" s="507"/>
    </row>
    <row r="70" spans="1:15" x14ac:dyDescent="0.25">
      <c r="A70" s="507"/>
      <c r="B70" s="507"/>
      <c r="C70" s="507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</row>
    <row r="71" spans="1:15" x14ac:dyDescent="0.25">
      <c r="A71" s="507"/>
      <c r="B71" s="507"/>
      <c r="C71" s="507"/>
      <c r="D71" s="507"/>
      <c r="E71" s="507"/>
      <c r="F71" s="507"/>
      <c r="G71" s="507"/>
      <c r="H71" s="507"/>
      <c r="I71" s="507"/>
      <c r="J71" s="507"/>
      <c r="K71" s="507"/>
      <c r="L71" s="507"/>
      <c r="M71" s="507"/>
      <c r="N71" s="507"/>
      <c r="O71" s="507"/>
    </row>
    <row r="72" spans="1:15" x14ac:dyDescent="0.25">
      <c r="A72" s="507"/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  <c r="O72" s="507"/>
    </row>
    <row r="73" spans="1:15" x14ac:dyDescent="0.25">
      <c r="A73" s="507"/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507"/>
      <c r="O73" s="507"/>
    </row>
    <row r="74" spans="1:15" x14ac:dyDescent="0.25">
      <c r="A74" s="507"/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507"/>
      <c r="O74" s="507"/>
    </row>
    <row r="75" spans="1:15" x14ac:dyDescent="0.25">
      <c r="A75" s="507"/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N75" s="507"/>
      <c r="O75" s="507"/>
    </row>
    <row r="76" spans="1:15" x14ac:dyDescent="0.25">
      <c r="A76" s="507"/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507"/>
      <c r="O76" s="507"/>
    </row>
    <row r="77" spans="1:15" x14ac:dyDescent="0.25">
      <c r="A77" s="507"/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507"/>
      <c r="O77" s="507"/>
    </row>
    <row r="78" spans="1:15" x14ac:dyDescent="0.25">
      <c r="A78" s="507"/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</row>
    <row r="79" spans="1:15" x14ac:dyDescent="0.25">
      <c r="A79" s="507"/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</row>
    <row r="80" spans="1:15" x14ac:dyDescent="0.25">
      <c r="A80" s="507"/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</row>
  </sheetData>
  <mergeCells count="26">
    <mergeCell ref="B25:F25"/>
    <mergeCell ref="A41:O80"/>
    <mergeCell ref="D1:M1"/>
    <mergeCell ref="F2:I2"/>
    <mergeCell ref="F3:I3"/>
    <mergeCell ref="A4:E4"/>
    <mergeCell ref="B6:F6"/>
    <mergeCell ref="B7:F7"/>
    <mergeCell ref="B8:F8"/>
    <mergeCell ref="L8:M8"/>
    <mergeCell ref="B9:F9"/>
    <mergeCell ref="D19:M19"/>
    <mergeCell ref="F20:I20"/>
    <mergeCell ref="F21:I21"/>
    <mergeCell ref="A22:E22"/>
    <mergeCell ref="B24:F24"/>
    <mergeCell ref="B37:F37"/>
    <mergeCell ref="B38:F38"/>
    <mergeCell ref="B39:F39"/>
    <mergeCell ref="L39:M39"/>
    <mergeCell ref="B26:F26"/>
    <mergeCell ref="L26:M26"/>
    <mergeCell ref="D32:M32"/>
    <mergeCell ref="F33:I33"/>
    <mergeCell ref="F34:I34"/>
    <mergeCell ref="A35:E35"/>
  </mergeCells>
  <pageMargins left="0.7" right="0.7" top="0.75" bottom="0.75" header="0.3" footer="0.3"/>
  <pageSetup paperSize="9" scale="6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J24" sqref="J24"/>
    </sheetView>
  </sheetViews>
  <sheetFormatPr defaultRowHeight="15" x14ac:dyDescent="0.25"/>
  <cols>
    <col min="1" max="1" width="27.5703125" customWidth="1"/>
    <col min="2" max="2" width="24.85546875" customWidth="1"/>
    <col min="3" max="3" width="16.5703125" customWidth="1"/>
    <col min="4" max="4" width="20.28515625" customWidth="1"/>
    <col min="5" max="5" width="22" customWidth="1"/>
  </cols>
  <sheetData>
    <row r="2" spans="1:5" ht="18.75" x14ac:dyDescent="0.3">
      <c r="A2" s="233" t="s">
        <v>572</v>
      </c>
      <c r="B2" s="143"/>
      <c r="C2" s="143"/>
    </row>
    <row r="3" spans="1:5" ht="18.75" x14ac:dyDescent="0.3">
      <c r="A3" s="233"/>
      <c r="B3" s="143"/>
      <c r="C3" s="143"/>
    </row>
    <row r="4" spans="1:5" ht="18.75" x14ac:dyDescent="0.3">
      <c r="A4" s="141" t="s">
        <v>270</v>
      </c>
      <c r="C4" s="581" t="s">
        <v>573</v>
      </c>
      <c r="D4" s="581"/>
    </row>
    <row r="5" spans="1:5" ht="18.75" x14ac:dyDescent="0.3">
      <c r="A5" s="143" t="s">
        <v>272</v>
      </c>
      <c r="B5" s="143"/>
      <c r="C5" s="573" t="s">
        <v>383</v>
      </c>
      <c r="D5" s="573"/>
    </row>
    <row r="6" spans="1:5" ht="18.75" x14ac:dyDescent="0.3">
      <c r="A6" s="141" t="s">
        <v>274</v>
      </c>
      <c r="B6" s="141"/>
      <c r="C6" s="349" t="s">
        <v>275</v>
      </c>
      <c r="D6" s="309"/>
    </row>
    <row r="7" spans="1:5" ht="24" customHeight="1" x14ac:dyDescent="0.25">
      <c r="B7" t="s">
        <v>452</v>
      </c>
    </row>
    <row r="8" spans="1:5" x14ac:dyDescent="0.25">
      <c r="A8" s="570" t="s">
        <v>261</v>
      </c>
      <c r="B8" s="572" t="s">
        <v>153</v>
      </c>
      <c r="C8" s="572" t="s">
        <v>445</v>
      </c>
      <c r="D8" s="693" t="s">
        <v>59</v>
      </c>
      <c r="E8" s="693"/>
    </row>
    <row r="9" spans="1:5" x14ac:dyDescent="0.25">
      <c r="A9" s="571"/>
      <c r="B9" s="572"/>
      <c r="C9" s="572"/>
      <c r="D9" s="693"/>
      <c r="E9" s="693"/>
    </row>
    <row r="10" spans="1:5" ht="21" customHeight="1" x14ac:dyDescent="0.25">
      <c r="A10" s="382">
        <v>1</v>
      </c>
      <c r="B10" s="382">
        <v>2</v>
      </c>
      <c r="C10" s="382">
        <v>3</v>
      </c>
      <c r="D10" s="676">
        <v>4</v>
      </c>
      <c r="E10" s="677"/>
    </row>
    <row r="11" spans="1:5" ht="69.75" customHeight="1" x14ac:dyDescent="0.25">
      <c r="A11" s="685" t="s">
        <v>574</v>
      </c>
      <c r="B11" s="686"/>
      <c r="C11" s="687"/>
      <c r="D11" s="688">
        <v>0</v>
      </c>
      <c r="E11" s="689"/>
    </row>
    <row r="12" spans="1:5" ht="19.5" customHeight="1" x14ac:dyDescent="0.25">
      <c r="A12" s="690" t="s">
        <v>284</v>
      </c>
      <c r="B12" s="691"/>
      <c r="C12" s="692"/>
      <c r="D12" s="676">
        <v>0</v>
      </c>
      <c r="E12" s="677"/>
    </row>
    <row r="14" spans="1:5" x14ac:dyDescent="0.25">
      <c r="A14" s="507" t="s">
        <v>568</v>
      </c>
      <c r="B14" s="507"/>
      <c r="D14" s="507" t="s">
        <v>575</v>
      </c>
      <c r="E14" s="507"/>
    </row>
    <row r="15" spans="1:5" x14ac:dyDescent="0.25">
      <c r="A15" s="507" t="s">
        <v>576</v>
      </c>
      <c r="B15" s="507"/>
      <c r="D15" s="507" t="s">
        <v>577</v>
      </c>
      <c r="E15" s="507"/>
    </row>
  </sheetData>
  <mergeCells count="15">
    <mergeCell ref="C4:D4"/>
    <mergeCell ref="C5:D5"/>
    <mergeCell ref="A8:A9"/>
    <mergeCell ref="B8:B9"/>
    <mergeCell ref="C8:C9"/>
    <mergeCell ref="D8:E9"/>
    <mergeCell ref="A15:B15"/>
    <mergeCell ref="D15:E15"/>
    <mergeCell ref="D10:E10"/>
    <mergeCell ref="A11:C11"/>
    <mergeCell ref="D11:E11"/>
    <mergeCell ref="A12:C12"/>
    <mergeCell ref="D12:E12"/>
    <mergeCell ref="A14:B14"/>
    <mergeCell ref="D14:E14"/>
  </mergeCells>
  <pageMargins left="0.7" right="0.7" top="0.75" bottom="0.75" header="0.3" footer="0.3"/>
  <pageSetup paperSize="9" scale="7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0"/>
  <sheetViews>
    <sheetView workbookViewId="0">
      <selection activeCell="M26" sqref="M26"/>
    </sheetView>
  </sheetViews>
  <sheetFormatPr defaultRowHeight="15" x14ac:dyDescent="0.25"/>
  <cols>
    <col min="2" max="2" width="28.85546875" customWidth="1"/>
    <col min="3" max="3" width="9.140625" customWidth="1"/>
    <col min="4" max="4" width="0.140625" hidden="1" customWidth="1"/>
    <col min="5" max="5" width="8.85546875" customWidth="1"/>
    <col min="6" max="6" width="0.140625" hidden="1" customWidth="1"/>
    <col min="7" max="7" width="21.42578125" customWidth="1"/>
    <col min="8" max="8" width="34" customWidth="1"/>
  </cols>
  <sheetData>
    <row r="4" spans="1:9" ht="14.25" customHeight="1" x14ac:dyDescent="0.25"/>
    <row r="5" spans="1:9" hidden="1" x14ac:dyDescent="0.25">
      <c r="I5" s="104"/>
    </row>
    <row r="6" spans="1:9" hidden="1" x14ac:dyDescent="0.25"/>
    <row r="7" spans="1:9" ht="18.75" x14ac:dyDescent="0.3">
      <c r="A7" s="233" t="s">
        <v>594</v>
      </c>
      <c r="B7" s="143"/>
      <c r="C7" s="143"/>
      <c r="D7" s="143"/>
      <c r="E7" s="143"/>
      <c r="F7" s="143"/>
    </row>
    <row r="8" spans="1:9" ht="18.75" x14ac:dyDescent="0.3">
      <c r="A8" s="233"/>
      <c r="B8" s="143"/>
      <c r="C8" s="143"/>
      <c r="D8" s="143"/>
      <c r="E8" s="143"/>
      <c r="F8" s="143"/>
    </row>
    <row r="9" spans="1:9" ht="18.75" x14ac:dyDescent="0.3">
      <c r="A9" s="143" t="s">
        <v>254</v>
      </c>
      <c r="B9" s="143"/>
      <c r="C9" s="566" t="s">
        <v>595</v>
      </c>
      <c r="D9" s="566"/>
      <c r="E9" s="566"/>
      <c r="F9" s="425"/>
      <c r="G9" s="235"/>
      <c r="H9" s="235"/>
    </row>
    <row r="10" spans="1:9" ht="18.75" x14ac:dyDescent="0.3">
      <c r="A10" s="236" t="s">
        <v>272</v>
      </c>
      <c r="B10" s="143"/>
      <c r="C10" s="567" t="s">
        <v>383</v>
      </c>
      <c r="D10" s="567"/>
      <c r="E10" s="567"/>
      <c r="F10" s="567"/>
      <c r="G10" s="567"/>
      <c r="H10" s="567"/>
    </row>
    <row r="11" spans="1:9" ht="18.75" x14ac:dyDescent="0.3">
      <c r="A11" s="568" t="s">
        <v>274</v>
      </c>
      <c r="B11" s="568"/>
      <c r="C11" s="567" t="s">
        <v>384</v>
      </c>
      <c r="D11" s="567"/>
      <c r="E11" s="567"/>
      <c r="F11" s="425"/>
      <c r="G11" s="237"/>
      <c r="H11" s="237"/>
    </row>
    <row r="12" spans="1:9" ht="15.75" x14ac:dyDescent="0.25">
      <c r="D12" s="694" t="s">
        <v>452</v>
      </c>
      <c r="E12" s="694"/>
      <c r="F12" s="694"/>
    </row>
    <row r="13" spans="1:9" x14ac:dyDescent="0.25">
      <c r="A13" s="570" t="s">
        <v>261</v>
      </c>
      <c r="B13" s="572" t="s">
        <v>153</v>
      </c>
      <c r="C13" s="572" t="s">
        <v>445</v>
      </c>
      <c r="D13" s="570"/>
      <c r="E13" s="572" t="s">
        <v>446</v>
      </c>
      <c r="F13" s="570"/>
      <c r="G13" s="572" t="s">
        <v>447</v>
      </c>
      <c r="H13" s="572" t="s">
        <v>387</v>
      </c>
    </row>
    <row r="14" spans="1:9" ht="63" customHeight="1" x14ac:dyDescent="0.25">
      <c r="A14" s="571"/>
      <c r="B14" s="572"/>
      <c r="C14" s="572"/>
      <c r="D14" s="571"/>
      <c r="E14" s="572"/>
      <c r="F14" s="571"/>
      <c r="G14" s="572"/>
      <c r="H14" s="572"/>
    </row>
    <row r="15" spans="1:9" x14ac:dyDescent="0.25">
      <c r="A15" s="426">
        <v>1</v>
      </c>
      <c r="B15" s="426">
        <v>2</v>
      </c>
      <c r="C15" s="426">
        <v>3</v>
      </c>
      <c r="D15" s="426"/>
      <c r="E15" s="426">
        <v>4</v>
      </c>
      <c r="F15" s="426"/>
      <c r="G15" s="426">
        <v>5</v>
      </c>
      <c r="H15" s="426">
        <v>6</v>
      </c>
    </row>
    <row r="16" spans="1:9" ht="25.5" x14ac:dyDescent="0.25">
      <c r="A16" s="427">
        <v>1</v>
      </c>
      <c r="B16" s="427" t="s">
        <v>596</v>
      </c>
      <c r="C16" s="427">
        <v>1</v>
      </c>
      <c r="D16" s="427"/>
      <c r="E16" s="305">
        <v>1</v>
      </c>
      <c r="F16" s="305"/>
      <c r="G16" s="305">
        <v>221024.2</v>
      </c>
      <c r="H16" s="305">
        <f>E16*G16</f>
        <v>221024.2</v>
      </c>
    </row>
    <row r="17" spans="1:8" x14ac:dyDescent="0.25">
      <c r="A17" s="569" t="s">
        <v>284</v>
      </c>
      <c r="B17" s="569"/>
      <c r="C17" s="427"/>
      <c r="D17" s="427"/>
      <c r="E17" s="305"/>
      <c r="F17" s="305"/>
      <c r="G17" s="305">
        <f>G16</f>
        <v>221024.2</v>
      </c>
      <c r="H17" s="305">
        <f>SUM(H16:H16)</f>
        <v>221024.2</v>
      </c>
    </row>
    <row r="19" spans="1:8" x14ac:dyDescent="0.25">
      <c r="C19" s="507" t="s">
        <v>589</v>
      </c>
      <c r="D19" s="507"/>
      <c r="E19" s="507"/>
      <c r="H19" t="s">
        <v>569</v>
      </c>
    </row>
    <row r="20" spans="1:8" x14ac:dyDescent="0.25">
      <c r="C20" s="507" t="s">
        <v>570</v>
      </c>
      <c r="D20" s="507"/>
      <c r="E20" s="507"/>
      <c r="H20" t="s">
        <v>571</v>
      </c>
    </row>
  </sheetData>
  <mergeCells count="16">
    <mergeCell ref="G13:G14"/>
    <mergeCell ref="H13:H14"/>
    <mergeCell ref="A17:B17"/>
    <mergeCell ref="C19:E19"/>
    <mergeCell ref="C20:E20"/>
    <mergeCell ref="A13:A14"/>
    <mergeCell ref="B13:B14"/>
    <mergeCell ref="C13:C14"/>
    <mergeCell ref="D13:D14"/>
    <mergeCell ref="E13:E14"/>
    <mergeCell ref="F13:F14"/>
    <mergeCell ref="C9:E9"/>
    <mergeCell ref="C10:H10"/>
    <mergeCell ref="A11:B11"/>
    <mergeCell ref="C11:E11"/>
    <mergeCell ref="D12:F12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42" workbookViewId="0">
      <selection activeCell="A2" sqref="A2:H47"/>
    </sheetView>
  </sheetViews>
  <sheetFormatPr defaultRowHeight="15" x14ac:dyDescent="0.25"/>
  <cols>
    <col min="1" max="1" width="11.28515625" customWidth="1"/>
    <col min="2" max="2" width="23.7109375" customWidth="1"/>
    <col min="4" max="4" width="11.85546875" customWidth="1"/>
    <col min="5" max="5" width="17.7109375" customWidth="1"/>
    <col min="6" max="6" width="17.5703125" customWidth="1"/>
    <col min="7" max="7" width="18.85546875" customWidth="1"/>
    <col min="8" max="8" width="16.28515625" customWidth="1"/>
  </cols>
  <sheetData>
    <row r="1" spans="1:8" x14ac:dyDescent="0.25">
      <c r="A1" s="23"/>
      <c r="B1" s="24"/>
      <c r="C1" s="24"/>
      <c r="D1" s="24"/>
      <c r="E1" s="24"/>
      <c r="F1" s="24"/>
      <c r="G1" s="24"/>
      <c r="H1" s="24"/>
    </row>
    <row r="2" spans="1:8" x14ac:dyDescent="0.25">
      <c r="A2" s="488" t="s">
        <v>91</v>
      </c>
      <c r="B2" s="488"/>
      <c r="C2" s="488"/>
      <c r="D2" s="488"/>
      <c r="E2" s="488"/>
      <c r="F2" s="488"/>
      <c r="G2" s="488"/>
      <c r="H2" s="488"/>
    </row>
    <row r="3" spans="1:8" x14ac:dyDescent="0.25">
      <c r="A3" s="25"/>
      <c r="B3" s="25"/>
      <c r="C3" s="25"/>
      <c r="D3" s="489"/>
      <c r="E3" s="489"/>
      <c r="F3" s="25"/>
      <c r="G3" s="24"/>
      <c r="H3" s="24"/>
    </row>
    <row r="4" spans="1:8" ht="15.75" thickBot="1" x14ac:dyDescent="0.3">
      <c r="A4" s="26"/>
      <c r="B4" s="24"/>
      <c r="C4" s="24"/>
      <c r="D4" s="24"/>
      <c r="E4" s="24"/>
      <c r="F4" s="24"/>
      <c r="G4" s="24"/>
      <c r="H4" s="24"/>
    </row>
    <row r="5" spans="1:8" ht="15.75" thickBot="1" x14ac:dyDescent="0.3">
      <c r="A5" s="490" t="s">
        <v>56</v>
      </c>
      <c r="B5" s="490" t="s">
        <v>0</v>
      </c>
      <c r="C5" s="490" t="s">
        <v>57</v>
      </c>
      <c r="D5" s="490" t="s">
        <v>58</v>
      </c>
      <c r="E5" s="493" t="s">
        <v>59</v>
      </c>
      <c r="F5" s="494"/>
      <c r="G5" s="494"/>
      <c r="H5" s="495"/>
    </row>
    <row r="6" spans="1:8" ht="15.75" thickBot="1" x14ac:dyDescent="0.3">
      <c r="A6" s="491"/>
      <c r="B6" s="491"/>
      <c r="C6" s="491"/>
      <c r="D6" s="491"/>
      <c r="E6" s="16" t="s">
        <v>112</v>
      </c>
      <c r="F6" s="16" t="s">
        <v>113</v>
      </c>
      <c r="G6" s="16" t="s">
        <v>81</v>
      </c>
      <c r="H6" s="490" t="s">
        <v>4</v>
      </c>
    </row>
    <row r="7" spans="1:8" ht="28.5" customHeight="1" thickBot="1" x14ac:dyDescent="0.3">
      <c r="A7" s="492"/>
      <c r="B7" s="492"/>
      <c r="C7" s="492"/>
      <c r="D7" s="492"/>
      <c r="E7" s="16" t="s">
        <v>60</v>
      </c>
      <c r="F7" s="16" t="s">
        <v>61</v>
      </c>
      <c r="G7" s="16" t="s">
        <v>62</v>
      </c>
      <c r="H7" s="492"/>
    </row>
    <row r="8" spans="1:8" ht="15.75" thickBot="1" x14ac:dyDescent="0.3">
      <c r="A8" s="17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39" thickBot="1" x14ac:dyDescent="0.3">
      <c r="A9" s="18">
        <v>1</v>
      </c>
      <c r="B9" s="27" t="s">
        <v>63</v>
      </c>
      <c r="C9" s="16">
        <v>26000</v>
      </c>
      <c r="D9" s="16" t="s">
        <v>11</v>
      </c>
      <c r="E9" s="57">
        <f>'раздел 1'!D62</f>
        <v>5912401.3899999997</v>
      </c>
      <c r="F9" s="57">
        <f>'раздел 1'!F62</f>
        <v>5207910.7899999991</v>
      </c>
      <c r="G9" s="57">
        <f>'раздел 1'!H62</f>
        <v>5066756.7899999991</v>
      </c>
      <c r="H9" s="19"/>
    </row>
    <row r="10" spans="1:8" x14ac:dyDescent="0.25">
      <c r="A10" s="496">
        <v>1.1000000000000001</v>
      </c>
      <c r="B10" s="28" t="s">
        <v>14</v>
      </c>
      <c r="C10" s="490">
        <v>26100</v>
      </c>
      <c r="D10" s="490" t="s">
        <v>11</v>
      </c>
      <c r="E10" s="477"/>
      <c r="F10" s="477"/>
      <c r="G10" s="477"/>
      <c r="H10" s="496"/>
    </row>
    <row r="11" spans="1:8" ht="341.25" customHeight="1" thickBot="1" x14ac:dyDescent="0.3">
      <c r="A11" s="497"/>
      <c r="B11" s="29" t="s">
        <v>115</v>
      </c>
      <c r="C11" s="492"/>
      <c r="D11" s="492"/>
      <c r="E11" s="478"/>
      <c r="F11" s="478"/>
      <c r="G11" s="478"/>
      <c r="H11" s="497"/>
    </row>
    <row r="12" spans="1:8" ht="115.5" thickBot="1" x14ac:dyDescent="0.3">
      <c r="A12" s="18">
        <v>1.2</v>
      </c>
      <c r="B12" s="29" t="s">
        <v>116</v>
      </c>
      <c r="C12" s="16">
        <v>26200</v>
      </c>
      <c r="D12" s="16" t="s">
        <v>11</v>
      </c>
      <c r="E12" s="21"/>
      <c r="F12" s="21"/>
      <c r="G12" s="21"/>
      <c r="H12" s="19"/>
    </row>
    <row r="13" spans="1:8" ht="90" thickBot="1" x14ac:dyDescent="0.3">
      <c r="A13" s="18">
        <v>1.3</v>
      </c>
      <c r="B13" s="29" t="s">
        <v>117</v>
      </c>
      <c r="C13" s="16">
        <v>26300</v>
      </c>
      <c r="D13" s="16" t="s">
        <v>11</v>
      </c>
      <c r="E13" s="21"/>
      <c r="F13" s="21"/>
      <c r="G13" s="21"/>
      <c r="H13" s="19"/>
    </row>
    <row r="14" spans="1:8" ht="174" customHeight="1" thickBot="1" x14ac:dyDescent="0.3">
      <c r="A14" s="18">
        <v>1.4</v>
      </c>
      <c r="B14" s="29" t="s">
        <v>118</v>
      </c>
      <c r="C14" s="16">
        <v>26400</v>
      </c>
      <c r="D14" s="16" t="s">
        <v>11</v>
      </c>
      <c r="E14" s="21"/>
      <c r="F14" s="21"/>
      <c r="G14" s="21"/>
      <c r="H14" s="19"/>
    </row>
    <row r="15" spans="1:8" x14ac:dyDescent="0.25">
      <c r="A15" s="498" t="s">
        <v>484</v>
      </c>
      <c r="B15" s="28" t="s">
        <v>14</v>
      </c>
      <c r="C15" s="490">
        <v>26410</v>
      </c>
      <c r="D15" s="490" t="s">
        <v>11</v>
      </c>
      <c r="E15" s="473"/>
      <c r="F15" s="473"/>
      <c r="G15" s="473"/>
      <c r="H15" s="496"/>
    </row>
    <row r="16" spans="1:8" ht="126" customHeight="1" thickBot="1" x14ac:dyDescent="0.3">
      <c r="A16" s="499"/>
      <c r="B16" s="19" t="s">
        <v>64</v>
      </c>
      <c r="C16" s="492"/>
      <c r="D16" s="492"/>
      <c r="E16" s="478"/>
      <c r="F16" s="478"/>
      <c r="G16" s="478"/>
      <c r="H16" s="497"/>
    </row>
    <row r="17" spans="1:8" x14ac:dyDescent="0.25">
      <c r="A17" s="500" t="s">
        <v>65</v>
      </c>
      <c r="B17" s="28" t="s">
        <v>14</v>
      </c>
      <c r="C17" s="490">
        <v>26411</v>
      </c>
      <c r="D17" s="490" t="s">
        <v>11</v>
      </c>
      <c r="E17" s="477"/>
      <c r="F17" s="477"/>
      <c r="G17" s="477"/>
      <c r="H17" s="496"/>
    </row>
    <row r="18" spans="1:8" ht="64.5" customHeight="1" thickBot="1" x14ac:dyDescent="0.3">
      <c r="A18" s="501"/>
      <c r="B18" s="27" t="s">
        <v>66</v>
      </c>
      <c r="C18" s="492"/>
      <c r="D18" s="492"/>
      <c r="E18" s="478"/>
      <c r="F18" s="478"/>
      <c r="G18" s="478"/>
      <c r="H18" s="497"/>
    </row>
    <row r="19" spans="1:8" ht="57.75" customHeight="1" thickBot="1" x14ac:dyDescent="0.3">
      <c r="A19" s="321" t="s">
        <v>67</v>
      </c>
      <c r="B19" s="19" t="s">
        <v>119</v>
      </c>
      <c r="C19" s="16">
        <v>26412</v>
      </c>
      <c r="D19" s="16" t="s">
        <v>11</v>
      </c>
      <c r="E19" s="21"/>
      <c r="F19" s="21"/>
      <c r="G19" s="21"/>
      <c r="H19" s="19"/>
    </row>
    <row r="20" spans="1:8" ht="114.75" customHeight="1" thickBot="1" x14ac:dyDescent="0.3">
      <c r="A20" s="322" t="s">
        <v>485</v>
      </c>
      <c r="B20" s="27" t="s">
        <v>68</v>
      </c>
      <c r="C20" s="16">
        <v>26420</v>
      </c>
      <c r="D20" s="16" t="s">
        <v>11</v>
      </c>
      <c r="E20" s="21"/>
      <c r="F20" s="21"/>
      <c r="G20" s="21"/>
      <c r="H20" s="19"/>
    </row>
    <row r="21" spans="1:8" x14ac:dyDescent="0.25">
      <c r="A21" s="500" t="s">
        <v>69</v>
      </c>
      <c r="B21" s="28" t="s">
        <v>14</v>
      </c>
      <c r="C21" s="490">
        <v>26421</v>
      </c>
      <c r="D21" s="490" t="s">
        <v>11</v>
      </c>
      <c r="E21" s="477"/>
      <c r="F21" s="477"/>
      <c r="G21" s="477"/>
      <c r="H21" s="496"/>
    </row>
    <row r="22" spans="1:8" ht="66" customHeight="1" thickBot="1" x14ac:dyDescent="0.3">
      <c r="A22" s="501"/>
      <c r="B22" s="27" t="s">
        <v>66</v>
      </c>
      <c r="C22" s="492"/>
      <c r="D22" s="492"/>
      <c r="E22" s="478"/>
      <c r="F22" s="478"/>
      <c r="G22" s="478"/>
      <c r="H22" s="497"/>
    </row>
    <row r="23" spans="1:8" ht="75" customHeight="1" thickBot="1" x14ac:dyDescent="0.3">
      <c r="A23" s="321" t="s">
        <v>70</v>
      </c>
      <c r="B23" s="19" t="s">
        <v>119</v>
      </c>
      <c r="C23" s="16">
        <v>26422</v>
      </c>
      <c r="D23" s="16" t="s">
        <v>11</v>
      </c>
      <c r="E23" s="21"/>
      <c r="F23" s="21"/>
      <c r="G23" s="21"/>
      <c r="H23" s="19"/>
    </row>
    <row r="24" spans="1:8" ht="99" customHeight="1" thickBot="1" x14ac:dyDescent="0.3">
      <c r="A24" s="322" t="s">
        <v>486</v>
      </c>
      <c r="B24" s="27" t="s">
        <v>71</v>
      </c>
      <c r="C24" s="16">
        <v>26430</v>
      </c>
      <c r="D24" s="16" t="s">
        <v>11</v>
      </c>
      <c r="E24" s="21"/>
      <c r="F24" s="21"/>
      <c r="G24" s="21"/>
      <c r="H24" s="19"/>
    </row>
    <row r="25" spans="1:8" ht="84" customHeight="1" thickBot="1" x14ac:dyDescent="0.3">
      <c r="A25" s="322" t="s">
        <v>487</v>
      </c>
      <c r="B25" s="19" t="s">
        <v>72</v>
      </c>
      <c r="C25" s="16">
        <v>26450</v>
      </c>
      <c r="D25" s="16" t="s">
        <v>11</v>
      </c>
      <c r="E25" s="58">
        <f>'раздел 1'!E32</f>
        <v>378852.32</v>
      </c>
      <c r="F25" s="58">
        <f>'раздел 1'!G32</f>
        <v>110483.34</v>
      </c>
      <c r="G25" s="58">
        <f>'раздел 1'!I32</f>
        <v>110483.34</v>
      </c>
      <c r="H25" s="19"/>
    </row>
    <row r="26" spans="1:8" x14ac:dyDescent="0.25">
      <c r="A26" s="500" t="s">
        <v>73</v>
      </c>
      <c r="B26" s="28" t="s">
        <v>14</v>
      </c>
      <c r="C26" s="490">
        <v>26451</v>
      </c>
      <c r="D26" s="490" t="s">
        <v>11</v>
      </c>
      <c r="E26" s="477"/>
      <c r="F26" s="477"/>
      <c r="G26" s="477"/>
      <c r="H26" s="496"/>
    </row>
    <row r="27" spans="1:8" ht="39" thickBot="1" x14ac:dyDescent="0.3">
      <c r="A27" s="501"/>
      <c r="B27" s="27" t="s">
        <v>66</v>
      </c>
      <c r="C27" s="492"/>
      <c r="D27" s="492"/>
      <c r="E27" s="478"/>
      <c r="F27" s="478"/>
      <c r="G27" s="478"/>
      <c r="H27" s="497"/>
    </row>
    <row r="28" spans="1:8" ht="39" thickBot="1" x14ac:dyDescent="0.3">
      <c r="A28" s="321" t="s">
        <v>74</v>
      </c>
      <c r="B28" s="27" t="s">
        <v>75</v>
      </c>
      <c r="C28" s="16">
        <v>26452</v>
      </c>
      <c r="D28" s="16" t="s">
        <v>11</v>
      </c>
      <c r="E28" s="19"/>
      <c r="F28" s="19"/>
      <c r="G28" s="19"/>
      <c r="H28" s="19"/>
    </row>
    <row r="29" spans="1:8" ht="162.75" customHeight="1" thickBot="1" x14ac:dyDescent="0.3">
      <c r="A29" s="17">
        <v>2</v>
      </c>
      <c r="B29" s="19" t="s">
        <v>120</v>
      </c>
      <c r="C29" s="16">
        <v>26500</v>
      </c>
      <c r="D29" s="16" t="s">
        <v>11</v>
      </c>
      <c r="E29" s="57">
        <f>E9-E25</f>
        <v>5533549.0699999994</v>
      </c>
      <c r="F29" s="57">
        <f t="shared" ref="F29:H29" si="0">F9-F25</f>
        <v>5097427.4499999993</v>
      </c>
      <c r="G29" s="57">
        <f t="shared" si="0"/>
        <v>4956273.4499999993</v>
      </c>
      <c r="H29" s="57">
        <f t="shared" si="0"/>
        <v>0</v>
      </c>
    </row>
    <row r="30" spans="1:8" ht="36" customHeight="1" thickBot="1" x14ac:dyDescent="0.3">
      <c r="A30" s="18"/>
      <c r="B30" s="19" t="s">
        <v>76</v>
      </c>
      <c r="C30" s="16">
        <v>26510</v>
      </c>
      <c r="D30" s="19"/>
      <c r="E30" s="21"/>
      <c r="F30" s="21"/>
      <c r="G30" s="21"/>
      <c r="H30" s="19"/>
    </row>
    <row r="31" spans="1:8" ht="167.25" customHeight="1" thickBot="1" x14ac:dyDescent="0.3">
      <c r="A31" s="18">
        <v>3</v>
      </c>
      <c r="B31" s="27" t="s">
        <v>77</v>
      </c>
      <c r="C31" s="16">
        <v>26600</v>
      </c>
      <c r="D31" s="16" t="s">
        <v>11</v>
      </c>
      <c r="E31" s="19"/>
      <c r="F31" s="19"/>
      <c r="G31" s="19"/>
      <c r="H31" s="19"/>
    </row>
    <row r="32" spans="1:8" ht="26.25" thickBot="1" x14ac:dyDescent="0.3">
      <c r="A32" s="18"/>
      <c r="B32" s="19" t="s">
        <v>76</v>
      </c>
      <c r="C32" s="16">
        <v>26610</v>
      </c>
      <c r="D32" s="19"/>
      <c r="E32" s="19"/>
      <c r="F32" s="19"/>
      <c r="G32" s="19"/>
      <c r="H32" s="19"/>
    </row>
    <row r="33" spans="1:8" x14ac:dyDescent="0.25">
      <c r="A33" s="26"/>
      <c r="B33" s="24"/>
      <c r="C33" s="24"/>
      <c r="D33" s="24"/>
      <c r="E33" s="24"/>
      <c r="F33" s="24"/>
      <c r="G33" s="24"/>
      <c r="H33" s="24"/>
    </row>
    <row r="34" spans="1:8" x14ac:dyDescent="0.25">
      <c r="A34" s="30"/>
      <c r="B34" s="30"/>
      <c r="C34" s="30"/>
      <c r="D34" s="30"/>
      <c r="E34" s="24"/>
      <c r="F34" s="24"/>
      <c r="G34" s="24"/>
      <c r="H34" s="24"/>
    </row>
    <row r="35" spans="1:8" s="3" customFormat="1" ht="75.75" customHeight="1" x14ac:dyDescent="0.25">
      <c r="A35" s="431" t="s">
        <v>121</v>
      </c>
      <c r="B35" s="431"/>
      <c r="C35" s="502" t="s">
        <v>488</v>
      </c>
      <c r="D35" s="502"/>
      <c r="E35" s="502"/>
      <c r="F35" s="502"/>
      <c r="G35" s="502"/>
      <c r="H35" s="31"/>
    </row>
    <row r="36" spans="1:8" s="3" customFormat="1" x14ac:dyDescent="0.25">
      <c r="A36" s="30" t="s">
        <v>92</v>
      </c>
      <c r="B36" s="30"/>
      <c r="C36" s="31"/>
      <c r="D36" s="31"/>
      <c r="E36" s="31"/>
      <c r="F36" s="31"/>
      <c r="G36" s="31"/>
      <c r="H36" s="31"/>
    </row>
    <row r="37" spans="1:8" s="3" customFormat="1" x14ac:dyDescent="0.25">
      <c r="A37" s="488" t="s">
        <v>93</v>
      </c>
      <c r="B37" s="488"/>
      <c r="C37" s="502" t="s">
        <v>552</v>
      </c>
      <c r="D37" s="502"/>
      <c r="E37" s="502"/>
      <c r="F37" s="502"/>
      <c r="G37" s="31"/>
      <c r="H37" s="31"/>
    </row>
    <row r="38" spans="1:8" s="3" customFormat="1" x14ac:dyDescent="0.25">
      <c r="A38" s="30" t="s">
        <v>92</v>
      </c>
      <c r="B38" s="30"/>
      <c r="C38" s="31"/>
      <c r="D38" s="31"/>
      <c r="E38" s="31"/>
      <c r="F38" s="31"/>
      <c r="G38" s="31"/>
      <c r="H38" s="31"/>
    </row>
    <row r="39" spans="1:8" s="3" customFormat="1" x14ac:dyDescent="0.25">
      <c r="A39" s="488"/>
      <c r="B39" s="488"/>
      <c r="C39" s="488"/>
      <c r="D39" s="488"/>
      <c r="E39" s="488"/>
      <c r="F39" s="488"/>
      <c r="G39" s="31"/>
      <c r="H39" s="31"/>
    </row>
    <row r="40" spans="1:8" s="424" customFormat="1" x14ac:dyDescent="0.25">
      <c r="A40" s="487" t="s">
        <v>598</v>
      </c>
      <c r="B40" s="487"/>
      <c r="C40" s="487"/>
      <c r="D40" s="487"/>
      <c r="E40" s="487"/>
      <c r="F40" s="423"/>
      <c r="G40" s="423"/>
      <c r="H40" s="423"/>
    </row>
    <row r="41" spans="1:8" s="3" customFormat="1" x14ac:dyDescent="0.25">
      <c r="A41" s="26"/>
      <c r="B41" s="31"/>
      <c r="C41" s="31"/>
      <c r="D41" s="31"/>
      <c r="E41" s="31"/>
      <c r="F41" s="31"/>
      <c r="G41" s="31"/>
      <c r="H41" s="31"/>
    </row>
    <row r="42" spans="1:8" s="3" customFormat="1" x14ac:dyDescent="0.25">
      <c r="A42" s="488" t="s">
        <v>78</v>
      </c>
      <c r="B42" s="488"/>
      <c r="C42" s="31"/>
      <c r="D42" s="31"/>
      <c r="E42" s="31"/>
      <c r="F42" s="31"/>
      <c r="G42" s="31"/>
      <c r="H42" s="31"/>
    </row>
    <row r="43" spans="1:8" s="3" customFormat="1" x14ac:dyDescent="0.25">
      <c r="A43" s="26"/>
      <c r="B43" s="31"/>
      <c r="C43" s="31"/>
      <c r="D43" s="31"/>
      <c r="E43" s="31"/>
      <c r="F43" s="31"/>
      <c r="G43" s="31"/>
      <c r="H43" s="31"/>
    </row>
    <row r="44" spans="1:8" s="3" customFormat="1" ht="55.5" customHeight="1" x14ac:dyDescent="0.25">
      <c r="A44" s="503" t="s">
        <v>94</v>
      </c>
      <c r="B44" s="503"/>
      <c r="C44" s="502" t="s">
        <v>554</v>
      </c>
      <c r="D44" s="502"/>
      <c r="E44" s="502"/>
      <c r="F44" s="502"/>
      <c r="G44" s="31"/>
      <c r="H44" s="31"/>
    </row>
    <row r="45" spans="1:8" s="3" customFormat="1" ht="38.25" customHeight="1" x14ac:dyDescent="0.25">
      <c r="A45" s="504" t="s">
        <v>95</v>
      </c>
      <c r="B45" s="504"/>
      <c r="C45" s="504"/>
      <c r="D45" s="504"/>
      <c r="E45" s="504"/>
      <c r="F45" s="31"/>
      <c r="G45" s="31"/>
      <c r="H45" s="31"/>
    </row>
    <row r="46" spans="1:8" s="3" customFormat="1" x14ac:dyDescent="0.25">
      <c r="A46" s="26"/>
      <c r="B46" s="31"/>
      <c r="C46" s="31"/>
      <c r="D46" s="31"/>
      <c r="E46" s="31"/>
      <c r="F46" s="31"/>
      <c r="G46" s="31"/>
      <c r="H46" s="31"/>
    </row>
    <row r="47" spans="1:8" s="424" customFormat="1" x14ac:dyDescent="0.25">
      <c r="A47" s="487" t="s">
        <v>599</v>
      </c>
      <c r="B47" s="487"/>
      <c r="C47" s="487"/>
      <c r="D47" s="487"/>
      <c r="E47" s="487"/>
      <c r="F47" s="423"/>
      <c r="G47" s="423"/>
      <c r="H47" s="423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</sheetData>
  <mergeCells count="54">
    <mergeCell ref="A40:E40"/>
    <mergeCell ref="A42:B42"/>
    <mergeCell ref="A44:B44"/>
    <mergeCell ref="C44:F44"/>
    <mergeCell ref="A45:E45"/>
    <mergeCell ref="A35:B35"/>
    <mergeCell ref="C35:G35"/>
    <mergeCell ref="A37:B37"/>
    <mergeCell ref="C37:F37"/>
    <mergeCell ref="A39:F39"/>
    <mergeCell ref="H26:H27"/>
    <mergeCell ref="A26:A27"/>
    <mergeCell ref="C26:C27"/>
    <mergeCell ref="D26:D27"/>
    <mergeCell ref="E26:E27"/>
    <mergeCell ref="F26:F27"/>
    <mergeCell ref="G26:G27"/>
    <mergeCell ref="H17:H18"/>
    <mergeCell ref="A21:A22"/>
    <mergeCell ref="C21:C22"/>
    <mergeCell ref="D21:D22"/>
    <mergeCell ref="E21:E22"/>
    <mergeCell ref="F21:F22"/>
    <mergeCell ref="G21:G22"/>
    <mergeCell ref="H21:H22"/>
    <mergeCell ref="A17:A18"/>
    <mergeCell ref="C17:C18"/>
    <mergeCell ref="D17:D18"/>
    <mergeCell ref="E17:E18"/>
    <mergeCell ref="F17:F18"/>
    <mergeCell ref="G17:G18"/>
    <mergeCell ref="H15:H16"/>
    <mergeCell ref="A10:A11"/>
    <mergeCell ref="C10:C11"/>
    <mergeCell ref="D10:D11"/>
    <mergeCell ref="E10:E11"/>
    <mergeCell ref="F10:F11"/>
    <mergeCell ref="G10:G11"/>
    <mergeCell ref="A47:E47"/>
    <mergeCell ref="A2:H2"/>
    <mergeCell ref="D3:E3"/>
    <mergeCell ref="A5:A7"/>
    <mergeCell ref="B5:B7"/>
    <mergeCell ref="C5:C7"/>
    <mergeCell ref="D5:D7"/>
    <mergeCell ref="E5:H5"/>
    <mergeCell ref="H6:H7"/>
    <mergeCell ref="H10:H11"/>
    <mergeCell ref="A15:A16"/>
    <mergeCell ref="C15:C16"/>
    <mergeCell ref="D15:D16"/>
    <mergeCell ref="E15:E16"/>
    <mergeCell ref="F15:F16"/>
    <mergeCell ref="G15:G16"/>
  </mergeCells>
  <hyperlinks>
    <hyperlink ref="B9" location="Par1211" display="Par1211"/>
    <hyperlink ref="B18" r:id="rId1" display="consultantplus://offline/ref=E5C71C0157D592B2878A7A4A35A7A021DC3E1A143A4BFF04146F8E1BDC0012A92A17978D91B21DFD6D7B12DF14a9R8C"/>
    <hyperlink ref="B20" r:id="rId2" display="consultantplus://offline/ref=E5C71C0157D592B2878A7A4A35A7A021DC3F1E133C40FF04146F8E1BDC0012A93817CF8392B305F73834548A1893C9F128D121B884DCaARAC"/>
    <hyperlink ref="B22" r:id="rId3" display="consultantplus://offline/ref=E5C71C0157D592B2878A7A4A35A7A021DC3E1A143A4BFF04146F8E1BDC0012A92A17978D91B21DFD6D7B12DF14a9R8C"/>
    <hyperlink ref="B24" location="Par1215" display="Par1215"/>
    <hyperlink ref="B27" r:id="rId4" display="consultantplus://offline/ref=E5C71C0157D592B2878A7A4A35A7A021DC3E1A143A4BFF04146F8E1BDC0012A92A17978D91B21DFD6D7B12DF14a9R8C"/>
    <hyperlink ref="B28" r:id="rId5" display="consultantplus://offline/ref=E5C71C0157D592B2878A7A4A35A7A021DC3F1E103647FF04146F8E1BDC0012A92A17978D91B21DFD6D7B12DF14a9R8C"/>
    <hyperlink ref="B31" r:id="rId6" display="consultantplus://offline/ref=E5C71C0157D592B2878A7A4A35A7A021DC3F1E103647FF04146F8E1BDC0012A92A17978D91B21DFD6D7B12DF14a9R8C"/>
  </hyperlinks>
  <pageMargins left="0.70866141732283472" right="0.70866141732283472" top="0.74803149606299213" bottom="0.74803149606299213" header="0.31496062992125984" footer="0.31496062992125984"/>
  <pageSetup paperSize="9" scale="55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A34" workbookViewId="0">
      <selection activeCell="A51" sqref="A51:I63"/>
    </sheetView>
  </sheetViews>
  <sheetFormatPr defaultRowHeight="15" x14ac:dyDescent="0.25"/>
  <cols>
    <col min="1" max="1" width="20.5703125" customWidth="1"/>
    <col min="2" max="2" width="16.85546875" customWidth="1"/>
    <col min="3" max="3" width="14.42578125" customWidth="1"/>
    <col min="4" max="4" width="21.7109375" customWidth="1"/>
    <col min="5" max="5" width="17.85546875" customWidth="1"/>
    <col min="6" max="6" width="13.5703125" customWidth="1"/>
    <col min="7" max="7" width="17.28515625" customWidth="1"/>
    <col min="8" max="9" width="15.5703125" customWidth="1"/>
  </cols>
  <sheetData>
    <row r="1" spans="1:9" x14ac:dyDescent="0.25">
      <c r="B1" s="80"/>
      <c r="C1" s="525" t="s">
        <v>298</v>
      </c>
      <c r="D1" s="525"/>
      <c r="E1" s="525"/>
      <c r="F1" s="525"/>
      <c r="G1" s="80"/>
    </row>
    <row r="2" spans="1:9" x14ac:dyDescent="0.25">
      <c r="B2" s="524" t="s">
        <v>299</v>
      </c>
      <c r="C2" s="524"/>
      <c r="D2" s="524"/>
      <c r="E2" s="524"/>
      <c r="F2" s="524"/>
      <c r="G2" s="524"/>
    </row>
    <row r="3" spans="1:9" ht="15.75" x14ac:dyDescent="0.25">
      <c r="A3" s="147" t="s">
        <v>293</v>
      </c>
      <c r="B3" s="77"/>
      <c r="C3" s="150"/>
      <c r="D3" s="150"/>
      <c r="E3" s="78"/>
      <c r="F3" s="79"/>
      <c r="G3" s="78"/>
      <c r="H3" s="78"/>
    </row>
    <row r="4" spans="1:9" ht="15.75" x14ac:dyDescent="0.25">
      <c r="A4" s="70" t="s">
        <v>294</v>
      </c>
      <c r="B4" s="71">
        <v>1</v>
      </c>
      <c r="C4" s="71">
        <v>27899</v>
      </c>
      <c r="D4" s="71">
        <f>C4/B4</f>
        <v>27899</v>
      </c>
      <c r="E4" s="67">
        <f>C4*2*0.1</f>
        <v>5579.8</v>
      </c>
      <c r="F4" s="68">
        <f>E4+C4*12</f>
        <v>340367.8</v>
      </c>
      <c r="G4" s="69">
        <f>ROUND(F4*0.302,2)</f>
        <v>102791.08</v>
      </c>
      <c r="H4" s="69">
        <f>F4+G4</f>
        <v>443158.88</v>
      </c>
    </row>
    <row r="5" spans="1:9" ht="31.5" x14ac:dyDescent="0.25">
      <c r="A5" s="72" t="s">
        <v>295</v>
      </c>
      <c r="B5" s="73">
        <v>0.5</v>
      </c>
      <c r="C5" s="71">
        <v>13949.5</v>
      </c>
      <c r="D5" s="71">
        <f t="shared" ref="D5:D11" si="0">C5/B5</f>
        <v>27899</v>
      </c>
      <c r="E5" s="67">
        <f t="shared" ref="E5:E11" si="1">C5*2*0.1</f>
        <v>2789.9</v>
      </c>
      <c r="F5" s="68">
        <f t="shared" ref="F5:F11" si="2">E5+C5*12</f>
        <v>170183.9</v>
      </c>
      <c r="G5" s="69">
        <f t="shared" ref="G5:G11" si="3">ROUND(F5*0.302,2)</f>
        <v>51395.54</v>
      </c>
      <c r="H5" s="69">
        <f t="shared" ref="H5:H11" si="4">F5+G5</f>
        <v>221579.44</v>
      </c>
    </row>
    <row r="6" spans="1:9" ht="15.75" x14ac:dyDescent="0.25">
      <c r="A6" s="70" t="s">
        <v>131</v>
      </c>
      <c r="B6" s="148">
        <v>0.5</v>
      </c>
      <c r="C6" s="71">
        <v>13949.5</v>
      </c>
      <c r="D6" s="71">
        <f t="shared" si="0"/>
        <v>27899</v>
      </c>
      <c r="E6" s="67">
        <f t="shared" si="1"/>
        <v>2789.9</v>
      </c>
      <c r="F6" s="68">
        <f>E6+C6*12</f>
        <v>170183.9</v>
      </c>
      <c r="G6" s="69">
        <f t="shared" si="3"/>
        <v>51395.54</v>
      </c>
      <c r="H6" s="69">
        <f t="shared" si="4"/>
        <v>221579.44</v>
      </c>
    </row>
    <row r="7" spans="1:9" ht="15.75" x14ac:dyDescent="0.25">
      <c r="A7" s="70" t="s">
        <v>296</v>
      </c>
      <c r="B7" s="71">
        <v>2</v>
      </c>
      <c r="C7" s="71">
        <v>55798</v>
      </c>
      <c r="D7" s="71">
        <f t="shared" si="0"/>
        <v>27899</v>
      </c>
      <c r="E7" s="67">
        <f t="shared" si="1"/>
        <v>11159.6</v>
      </c>
      <c r="F7" s="68">
        <f t="shared" si="2"/>
        <v>680735.6</v>
      </c>
      <c r="G7" s="69">
        <f t="shared" si="3"/>
        <v>205582.15</v>
      </c>
      <c r="H7" s="69">
        <f t="shared" si="4"/>
        <v>886317.75</v>
      </c>
    </row>
    <row r="8" spans="1:9" ht="47.25" x14ac:dyDescent="0.25">
      <c r="A8" s="70" t="s">
        <v>132</v>
      </c>
      <c r="B8" s="71">
        <v>6.5</v>
      </c>
      <c r="C8" s="71">
        <v>27899</v>
      </c>
      <c r="D8" s="71">
        <f t="shared" si="0"/>
        <v>4292.1538461538457</v>
      </c>
      <c r="E8" s="67">
        <f t="shared" si="1"/>
        <v>5579.8</v>
      </c>
      <c r="F8" s="68">
        <f>E8+C8*12</f>
        <v>340367.8</v>
      </c>
      <c r="G8" s="69">
        <f t="shared" si="3"/>
        <v>102791.08</v>
      </c>
      <c r="H8" s="69">
        <f>F8+G8</f>
        <v>443158.88</v>
      </c>
    </row>
    <row r="9" spans="1:9" ht="15.75" x14ac:dyDescent="0.25">
      <c r="A9" s="70" t="s">
        <v>133</v>
      </c>
      <c r="B9" s="71">
        <v>3</v>
      </c>
      <c r="C9" s="71">
        <v>83697</v>
      </c>
      <c r="D9" s="71">
        <f t="shared" si="0"/>
        <v>27899</v>
      </c>
      <c r="E9" s="67">
        <f t="shared" si="1"/>
        <v>16739.400000000001</v>
      </c>
      <c r="F9" s="68">
        <f t="shared" si="2"/>
        <v>1021103.4</v>
      </c>
      <c r="G9" s="69">
        <f t="shared" si="3"/>
        <v>308373.23</v>
      </c>
      <c r="H9" s="69">
        <f>F9+G9</f>
        <v>1329476.6299999999</v>
      </c>
    </row>
    <row r="10" spans="1:9" ht="15.75" x14ac:dyDescent="0.25">
      <c r="A10" s="72" t="s">
        <v>297</v>
      </c>
      <c r="B10" s="71">
        <v>2</v>
      </c>
      <c r="C10" s="71">
        <v>55798</v>
      </c>
      <c r="D10" s="71">
        <f t="shared" si="0"/>
        <v>27899</v>
      </c>
      <c r="E10" s="67">
        <f t="shared" si="1"/>
        <v>11159.6</v>
      </c>
      <c r="F10" s="68">
        <f t="shared" si="2"/>
        <v>680735.6</v>
      </c>
      <c r="G10" s="69">
        <f t="shared" si="3"/>
        <v>205582.15</v>
      </c>
      <c r="H10" s="69">
        <f t="shared" si="4"/>
        <v>886317.75</v>
      </c>
    </row>
    <row r="11" spans="1:9" ht="15.75" x14ac:dyDescent="0.25">
      <c r="A11" s="70" t="s">
        <v>134</v>
      </c>
      <c r="B11" s="71">
        <v>3</v>
      </c>
      <c r="C11" s="71">
        <v>83697</v>
      </c>
      <c r="D11" s="71">
        <f t="shared" si="0"/>
        <v>27899</v>
      </c>
      <c r="E11" s="67">
        <f t="shared" si="1"/>
        <v>16739.400000000001</v>
      </c>
      <c r="F11" s="68">
        <f t="shared" si="2"/>
        <v>1021103.4</v>
      </c>
      <c r="G11" s="69">
        <f t="shared" si="3"/>
        <v>308373.23</v>
      </c>
      <c r="H11" s="69">
        <f t="shared" si="4"/>
        <v>1329476.6299999999</v>
      </c>
    </row>
    <row r="12" spans="1:9" ht="15.75" x14ac:dyDescent="0.25">
      <c r="A12" s="149" t="s">
        <v>135</v>
      </c>
      <c r="B12" s="75">
        <f>SUM(B4:B11)</f>
        <v>18.5</v>
      </c>
      <c r="C12" s="75">
        <f>SUM(C4:C11)</f>
        <v>362687</v>
      </c>
      <c r="D12" s="75"/>
      <c r="E12" s="75">
        <f>SUM(E4:E11)</f>
        <v>72537.399999999994</v>
      </c>
      <c r="F12" s="75">
        <f>SUM(F4:F11)</f>
        <v>4424781.4000000004</v>
      </c>
      <c r="G12" s="76">
        <f>ROUND(F12*0.302,2)</f>
        <v>1336283.98</v>
      </c>
      <c r="H12" s="76">
        <f>F12+G12+535738.92</f>
        <v>6296804.3000000007</v>
      </c>
    </row>
    <row r="16" spans="1:9" ht="18.75" x14ac:dyDescent="0.25">
      <c r="A16" s="505" t="s">
        <v>122</v>
      </c>
      <c r="B16" s="505"/>
      <c r="C16" s="505"/>
      <c r="D16" s="505"/>
      <c r="E16" s="505"/>
      <c r="F16" s="505"/>
      <c r="G16" s="505"/>
      <c r="H16" s="505"/>
      <c r="I16" s="505"/>
    </row>
    <row r="17" spans="1:9" ht="15.75" x14ac:dyDescent="0.25">
      <c r="A17" s="60"/>
      <c r="B17" s="61"/>
      <c r="C17" s="61"/>
      <c r="D17" s="325" t="s">
        <v>537</v>
      </c>
      <c r="E17" s="506" t="s">
        <v>138</v>
      </c>
      <c r="F17" s="506"/>
      <c r="G17" s="506"/>
      <c r="H17" s="506"/>
      <c r="I17" s="506"/>
    </row>
    <row r="18" spans="1:9" ht="78.75" x14ac:dyDescent="0.25">
      <c r="A18" s="62" t="s">
        <v>123</v>
      </c>
      <c r="B18" s="63" t="s">
        <v>124</v>
      </c>
      <c r="C18" s="63" t="s">
        <v>139</v>
      </c>
      <c r="D18" s="63" t="s">
        <v>125</v>
      </c>
      <c r="E18" s="63" t="s">
        <v>126</v>
      </c>
      <c r="F18" s="64" t="s">
        <v>127</v>
      </c>
      <c r="G18" s="63" t="s">
        <v>128</v>
      </c>
      <c r="H18" s="64" t="s">
        <v>129</v>
      </c>
      <c r="I18" s="64" t="s">
        <v>130</v>
      </c>
    </row>
    <row r="19" spans="1:9" ht="15.75" x14ac:dyDescent="0.25">
      <c r="A19" s="147" t="s">
        <v>293</v>
      </c>
      <c r="B19" s="77"/>
      <c r="C19" s="65"/>
      <c r="D19" s="66"/>
      <c r="E19" s="66"/>
      <c r="F19" s="78"/>
      <c r="G19" s="79"/>
      <c r="H19" s="78"/>
      <c r="I19" s="78"/>
    </row>
    <row r="20" spans="1:9" ht="15.75" x14ac:dyDescent="0.25">
      <c r="A20" s="70" t="s">
        <v>140</v>
      </c>
      <c r="B20" s="71">
        <v>1</v>
      </c>
      <c r="C20" s="71">
        <v>16156</v>
      </c>
      <c r="D20" s="71">
        <v>83175.929999999993</v>
      </c>
      <c r="E20" s="71">
        <f>D20/B20</f>
        <v>83175.929999999993</v>
      </c>
      <c r="F20" s="67">
        <f>D20*1.6*0.4</f>
        <v>53232.595199999996</v>
      </c>
      <c r="G20" s="68">
        <f>F20+D20*12-69209.79+3927.58-168817.2</f>
        <v>817244.34519999987</v>
      </c>
      <c r="H20" s="69">
        <f>ROUND(G20*0.302,2)</f>
        <v>246807.79</v>
      </c>
      <c r="I20" s="69">
        <f>G20+H20</f>
        <v>1064052.1351999999</v>
      </c>
    </row>
    <row r="21" spans="1:9" ht="63" customHeight="1" x14ac:dyDescent="0.25">
      <c r="A21" s="70" t="s">
        <v>141</v>
      </c>
      <c r="B21" s="71">
        <v>1</v>
      </c>
      <c r="C21" s="71">
        <v>11309</v>
      </c>
      <c r="D21" s="71">
        <v>65078.12</v>
      </c>
      <c r="E21" s="71">
        <f>D21/B21</f>
        <v>65078.12</v>
      </c>
      <c r="F21" s="67">
        <f>D21*1.6*0.4</f>
        <v>41649.996800000008</v>
      </c>
      <c r="G21" s="68">
        <f>F21+D21*12+3927.58-100000</f>
        <v>726515.01679999998</v>
      </c>
      <c r="H21" s="69">
        <f>ROUND(G21*0.302,2)</f>
        <v>219407.54</v>
      </c>
      <c r="I21" s="69">
        <f>G21+H21</f>
        <v>945922.55680000002</v>
      </c>
    </row>
    <row r="22" spans="1:9" ht="62.25" customHeight="1" x14ac:dyDescent="0.25">
      <c r="A22" s="70" t="s">
        <v>142</v>
      </c>
      <c r="B22" s="71">
        <v>1</v>
      </c>
      <c r="C22" s="71">
        <v>11309</v>
      </c>
      <c r="D22" s="71">
        <v>13949.5</v>
      </c>
      <c r="E22" s="71">
        <f>D22/B22</f>
        <v>13949.5</v>
      </c>
      <c r="F22" s="67">
        <f>D22*1.8*0.4</f>
        <v>10043.640000000001</v>
      </c>
      <c r="G22" s="68">
        <f>F22+D22*12+3927.58</f>
        <v>181365.22</v>
      </c>
      <c r="H22" s="69">
        <f t="shared" ref="H22:H23" si="5">ROUND(G22*0.302,2)</f>
        <v>54772.3</v>
      </c>
      <c r="I22" s="69">
        <f t="shared" ref="I22:I23" si="6">G22+H22</f>
        <v>236137.52000000002</v>
      </c>
    </row>
    <row r="23" spans="1:9" ht="15.75" x14ac:dyDescent="0.25">
      <c r="A23" s="70" t="s">
        <v>477</v>
      </c>
      <c r="B23" s="71">
        <v>0.5</v>
      </c>
      <c r="C23" s="71">
        <v>4704</v>
      </c>
      <c r="D23" s="71">
        <v>27899</v>
      </c>
      <c r="E23" s="71">
        <f t="shared" ref="E23" si="7">D23/B23</f>
        <v>55798</v>
      </c>
      <c r="F23" s="67">
        <f t="shared" ref="F23" si="8">D23*1.8*0.4</f>
        <v>20087.280000000002</v>
      </c>
      <c r="G23" s="68">
        <f>F23+D23*12+1963.8</f>
        <v>356839.08</v>
      </c>
      <c r="H23" s="69">
        <f t="shared" si="5"/>
        <v>107765.4</v>
      </c>
      <c r="I23" s="69">
        <f t="shared" si="6"/>
        <v>464604.48</v>
      </c>
    </row>
    <row r="24" spans="1:9" ht="15.75" x14ac:dyDescent="0.25">
      <c r="A24" s="74" t="s">
        <v>135</v>
      </c>
      <c r="B24" s="75">
        <f>SUM(B20:B23)</f>
        <v>3.5</v>
      </c>
      <c r="C24" s="75"/>
      <c r="D24" s="75">
        <f>SUM(D20:D22)</f>
        <v>162203.54999999999</v>
      </c>
      <c r="E24" s="75"/>
      <c r="F24" s="75">
        <f>SUM(F20:F22)</f>
        <v>104926.232</v>
      </c>
      <c r="G24" s="75">
        <f>SUM(G20:G23)</f>
        <v>2081963.6619999998</v>
      </c>
      <c r="H24" s="76">
        <f>ROUND(G24*0.302,2)+0.01</f>
        <v>628753.04</v>
      </c>
      <c r="I24" s="76">
        <f>G24+H24</f>
        <v>2710716.7019999996</v>
      </c>
    </row>
    <row r="26" spans="1:9" x14ac:dyDescent="0.25">
      <c r="D26" s="507" t="s">
        <v>136</v>
      </c>
      <c r="E26" s="507"/>
      <c r="F26" s="507"/>
      <c r="G26" s="507"/>
      <c r="H26" s="507"/>
    </row>
    <row r="28" spans="1:9" x14ac:dyDescent="0.25">
      <c r="E28" s="80" t="s">
        <v>137</v>
      </c>
      <c r="F28" s="80"/>
      <c r="G28" s="80"/>
    </row>
    <row r="32" spans="1:9" ht="18.75" x14ac:dyDescent="0.25">
      <c r="A32" s="505" t="s">
        <v>122</v>
      </c>
      <c r="B32" s="505"/>
      <c r="C32" s="505"/>
      <c r="D32" s="505"/>
      <c r="E32" s="505"/>
      <c r="F32" s="505"/>
      <c r="G32" s="505"/>
      <c r="H32" s="505"/>
      <c r="I32" s="505"/>
    </row>
    <row r="33" spans="1:9" ht="15.75" x14ac:dyDescent="0.25">
      <c r="A33" s="60"/>
      <c r="B33" s="61"/>
      <c r="C33" s="61"/>
      <c r="D33" s="61"/>
      <c r="E33" s="506" t="s">
        <v>143</v>
      </c>
      <c r="F33" s="506"/>
      <c r="G33" s="506"/>
      <c r="H33" s="506"/>
      <c r="I33" s="506"/>
    </row>
    <row r="34" spans="1:9" ht="78.75" x14ac:dyDescent="0.25">
      <c r="A34" s="62" t="s">
        <v>123</v>
      </c>
      <c r="B34" s="63" t="s">
        <v>124</v>
      </c>
      <c r="C34" s="63" t="s">
        <v>139</v>
      </c>
      <c r="D34" s="63" t="s">
        <v>125</v>
      </c>
      <c r="E34" s="63" t="s">
        <v>126</v>
      </c>
      <c r="F34" s="64" t="s">
        <v>127</v>
      </c>
      <c r="G34" s="63" t="s">
        <v>128</v>
      </c>
      <c r="H34" s="64" t="s">
        <v>129</v>
      </c>
      <c r="I34" s="64" t="s">
        <v>130</v>
      </c>
    </row>
    <row r="35" spans="1:9" ht="15.75" x14ac:dyDescent="0.25">
      <c r="A35" s="147" t="s">
        <v>293</v>
      </c>
      <c r="B35" s="77"/>
      <c r="C35" s="65"/>
      <c r="D35" s="66"/>
      <c r="E35" s="66"/>
      <c r="F35" s="78"/>
      <c r="G35" s="79"/>
      <c r="H35" s="78"/>
      <c r="I35" s="78"/>
    </row>
    <row r="36" spans="1:9" ht="15.75" x14ac:dyDescent="0.25">
      <c r="A36" s="70" t="s">
        <v>144</v>
      </c>
      <c r="B36" s="71">
        <v>16.39</v>
      </c>
      <c r="C36" s="71">
        <v>8234</v>
      </c>
      <c r="D36" s="71">
        <v>500021.72</v>
      </c>
      <c r="E36" s="71">
        <f>D36/B36</f>
        <v>30507.731543624159</v>
      </c>
      <c r="F36" s="67">
        <f>D36*1.6*0.3</f>
        <v>240010.42559999999</v>
      </c>
      <c r="G36" s="68">
        <f>F36+D36*12</f>
        <v>6240271.0655999994</v>
      </c>
      <c r="H36" s="69">
        <f>ROUND(G36*0.302,2)</f>
        <v>1884561.86</v>
      </c>
      <c r="I36" s="69">
        <f>G36+H36</f>
        <v>8124832.9255999997</v>
      </c>
    </row>
    <row r="37" spans="1:9" ht="15.75" x14ac:dyDescent="0.25">
      <c r="A37" s="70" t="s">
        <v>144</v>
      </c>
      <c r="B37" s="71">
        <v>3</v>
      </c>
      <c r="C37" s="71">
        <v>7226</v>
      </c>
      <c r="D37" s="71">
        <f>135025.72-49858.23</f>
        <v>85167.489999999991</v>
      </c>
      <c r="E37" s="71">
        <f>D37/B37</f>
        <v>28389.16333333333</v>
      </c>
      <c r="F37" s="67">
        <f t="shared" ref="F37:F38" si="9">D37*1.6*0.3</f>
        <v>40880.395199999999</v>
      </c>
      <c r="G37" s="68">
        <f>F37+D37*12-0.03</f>
        <v>1062890.2451999998</v>
      </c>
      <c r="H37" s="69">
        <f t="shared" ref="H37:H43" si="10">ROUND(G37*0.302,2)</f>
        <v>320992.84999999998</v>
      </c>
      <c r="I37" s="69">
        <f t="shared" ref="I37:I43" si="11">G37+H37</f>
        <v>1383883.0951999999</v>
      </c>
    </row>
    <row r="38" spans="1:9" ht="47.25" x14ac:dyDescent="0.25">
      <c r="A38" s="70" t="s">
        <v>145</v>
      </c>
      <c r="B38" s="71">
        <v>1.5</v>
      </c>
      <c r="C38" s="71">
        <v>6866</v>
      </c>
      <c r="D38" s="71">
        <v>41848.5</v>
      </c>
      <c r="E38" s="71">
        <f>D38/B38</f>
        <v>27899</v>
      </c>
      <c r="F38" s="67">
        <f t="shared" si="9"/>
        <v>20087.280000000002</v>
      </c>
      <c r="G38" s="68">
        <f t="shared" ref="G38" si="12">F38+D38*12</f>
        <v>522269.28</v>
      </c>
      <c r="H38" s="69">
        <f t="shared" si="10"/>
        <v>157725.32</v>
      </c>
      <c r="I38" s="69">
        <f t="shared" si="11"/>
        <v>679994.60000000009</v>
      </c>
    </row>
    <row r="39" spans="1:9" ht="47.25" x14ac:dyDescent="0.25">
      <c r="A39" s="70" t="s">
        <v>145</v>
      </c>
      <c r="B39" s="71">
        <v>0.75</v>
      </c>
      <c r="C39" s="71">
        <v>6029</v>
      </c>
      <c r="D39" s="71">
        <v>20924.25</v>
      </c>
      <c r="E39" s="71">
        <f t="shared" ref="E39:E43" si="13">D39/B39</f>
        <v>27899</v>
      </c>
      <c r="F39" s="67">
        <f>D39*1.8*0.4</f>
        <v>15065.460000000001</v>
      </c>
      <c r="G39" s="68">
        <f>F39+D39*12</f>
        <v>266156.46000000002</v>
      </c>
      <c r="H39" s="69">
        <f t="shared" si="10"/>
        <v>80379.25</v>
      </c>
      <c r="I39" s="69">
        <f t="shared" si="11"/>
        <v>346535.71</v>
      </c>
    </row>
    <row r="40" spans="1:9" ht="15.75" x14ac:dyDescent="0.25">
      <c r="A40" s="70" t="s">
        <v>146</v>
      </c>
      <c r="B40" s="71">
        <v>0.15</v>
      </c>
      <c r="C40" s="71">
        <v>8234</v>
      </c>
      <c r="D40" s="71">
        <v>4184.8500000000004</v>
      </c>
      <c r="E40" s="71">
        <f t="shared" si="13"/>
        <v>27899.000000000004</v>
      </c>
      <c r="F40" s="67">
        <f t="shared" ref="F40:F43" si="14">D40*1.8*0.4</f>
        <v>3013.0920000000006</v>
      </c>
      <c r="G40" s="68">
        <f>F40+D40*12</f>
        <v>53231.292000000001</v>
      </c>
      <c r="H40" s="69">
        <f t="shared" si="10"/>
        <v>16075.85</v>
      </c>
      <c r="I40" s="69">
        <f t="shared" si="11"/>
        <v>69307.142000000007</v>
      </c>
    </row>
    <row r="41" spans="1:9" ht="15.75" x14ac:dyDescent="0.25">
      <c r="A41" s="70" t="s">
        <v>147</v>
      </c>
      <c r="B41" s="71">
        <v>0.2</v>
      </c>
      <c r="C41" s="71">
        <v>7521</v>
      </c>
      <c r="D41" s="71">
        <v>5579.8</v>
      </c>
      <c r="E41" s="71">
        <f t="shared" si="13"/>
        <v>27899</v>
      </c>
      <c r="F41" s="67">
        <f t="shared" si="14"/>
        <v>4017.4560000000006</v>
      </c>
      <c r="G41" s="68">
        <f>F41+D41*12</f>
        <v>70975.056000000011</v>
      </c>
      <c r="H41" s="69">
        <f t="shared" si="10"/>
        <v>21434.47</v>
      </c>
      <c r="I41" s="69">
        <f t="shared" si="11"/>
        <v>92409.526000000013</v>
      </c>
    </row>
    <row r="42" spans="1:9" ht="31.5" x14ac:dyDescent="0.25">
      <c r="A42" s="70" t="s">
        <v>148</v>
      </c>
      <c r="B42" s="71">
        <v>1</v>
      </c>
      <c r="C42" s="71">
        <v>6866</v>
      </c>
      <c r="D42" s="71">
        <v>27899</v>
      </c>
      <c r="E42" s="71">
        <f t="shared" si="13"/>
        <v>27899</v>
      </c>
      <c r="F42" s="67">
        <f t="shared" si="14"/>
        <v>20087.280000000002</v>
      </c>
      <c r="G42" s="68">
        <f>F42+D42*12</f>
        <v>354875.28</v>
      </c>
      <c r="H42" s="69">
        <f t="shared" si="10"/>
        <v>107172.33</v>
      </c>
      <c r="I42" s="69">
        <f t="shared" si="11"/>
        <v>462047.61000000004</v>
      </c>
    </row>
    <row r="43" spans="1:9" ht="31.5" x14ac:dyDescent="0.25">
      <c r="A43" s="70" t="s">
        <v>149</v>
      </c>
      <c r="B43" s="71">
        <v>0.5</v>
      </c>
      <c r="C43" s="71">
        <v>6866</v>
      </c>
      <c r="D43" s="71">
        <v>13949.5</v>
      </c>
      <c r="E43" s="71">
        <f t="shared" si="13"/>
        <v>27899</v>
      </c>
      <c r="F43" s="67">
        <f t="shared" si="14"/>
        <v>10043.640000000001</v>
      </c>
      <c r="G43" s="68">
        <f t="shared" ref="G43" si="15">F43+D43*12-6.51</f>
        <v>177431.13</v>
      </c>
      <c r="H43" s="69">
        <f t="shared" si="10"/>
        <v>53584.2</v>
      </c>
      <c r="I43" s="69">
        <f t="shared" si="11"/>
        <v>231015.33000000002</v>
      </c>
    </row>
    <row r="44" spans="1:9" ht="15.75" x14ac:dyDescent="0.25">
      <c r="A44" s="74" t="s">
        <v>135</v>
      </c>
      <c r="B44" s="75">
        <f>B36+B37+B38+B39+B40+B41+B42+B43</f>
        <v>23.49</v>
      </c>
      <c r="C44" s="75"/>
      <c r="D44" s="75">
        <f>SUM(D36:D41)</f>
        <v>657726.61</v>
      </c>
      <c r="E44" s="75">
        <f>E36+E37+E38+E39</f>
        <v>114694.89487695749</v>
      </c>
      <c r="F44" s="75">
        <f>SUM(F36:F39)</f>
        <v>316043.56080000004</v>
      </c>
      <c r="G44" s="75">
        <f>SUM(G36:G43)-684.62</f>
        <v>8747415.1888000015</v>
      </c>
      <c r="H44" s="76">
        <f>ROUND(G44*0.302,2)</f>
        <v>2641719.39</v>
      </c>
      <c r="I44" s="76">
        <f>G44+H44</f>
        <v>11389134.578800002</v>
      </c>
    </row>
    <row r="46" spans="1:9" x14ac:dyDescent="0.25">
      <c r="D46" s="507" t="s">
        <v>136</v>
      </c>
      <c r="E46" s="507"/>
      <c r="F46" s="507"/>
      <c r="G46" s="507"/>
      <c r="H46" s="507"/>
    </row>
    <row r="48" spans="1:9" x14ac:dyDescent="0.25">
      <c r="E48" s="80" t="s">
        <v>137</v>
      </c>
      <c r="F48" s="80"/>
      <c r="G48" s="80"/>
    </row>
    <row r="53" spans="1:9" ht="18.75" x14ac:dyDescent="0.25">
      <c r="A53" s="505" t="s">
        <v>122</v>
      </c>
      <c r="B53" s="505"/>
      <c r="C53" s="505"/>
      <c r="D53" s="505"/>
      <c r="E53" s="505"/>
      <c r="F53" s="505"/>
      <c r="G53" s="505"/>
      <c r="H53" s="505"/>
      <c r="I53" s="505"/>
    </row>
    <row r="54" spans="1:9" ht="15.75" x14ac:dyDescent="0.25">
      <c r="A54" s="60"/>
      <c r="B54" s="61"/>
      <c r="C54" s="61"/>
      <c r="D54" s="325" t="s">
        <v>536</v>
      </c>
      <c r="E54" s="506" t="s">
        <v>478</v>
      </c>
      <c r="F54" s="506"/>
      <c r="G54" s="506"/>
      <c r="H54" s="506"/>
      <c r="I54" s="506"/>
    </row>
    <row r="55" spans="1:9" ht="78.75" x14ac:dyDescent="0.25">
      <c r="A55" s="62" t="s">
        <v>123</v>
      </c>
      <c r="B55" s="63" t="s">
        <v>124</v>
      </c>
      <c r="C55" s="63" t="s">
        <v>139</v>
      </c>
      <c r="D55" s="63" t="s">
        <v>125</v>
      </c>
      <c r="E55" s="63" t="s">
        <v>126</v>
      </c>
      <c r="F55" s="64" t="s">
        <v>127</v>
      </c>
      <c r="G55" s="63" t="s">
        <v>128</v>
      </c>
      <c r="H55" s="64" t="s">
        <v>129</v>
      </c>
      <c r="I55" s="64" t="s">
        <v>130</v>
      </c>
    </row>
    <row r="56" spans="1:9" ht="15.75" x14ac:dyDescent="0.25">
      <c r="A56" s="147" t="s">
        <v>293</v>
      </c>
      <c r="B56" s="77"/>
      <c r="C56" s="65"/>
      <c r="D56" s="66"/>
      <c r="E56" s="66"/>
      <c r="F56" s="78"/>
      <c r="G56" s="79"/>
      <c r="H56" s="78"/>
      <c r="I56" s="78"/>
    </row>
    <row r="57" spans="1:9" ht="31.5" x14ac:dyDescent="0.25">
      <c r="A57" s="70" t="s">
        <v>479</v>
      </c>
      <c r="B57" s="71">
        <v>1.3</v>
      </c>
      <c r="C57" s="71">
        <v>3964</v>
      </c>
      <c r="D57" s="71">
        <v>40175.230000000003</v>
      </c>
      <c r="E57" s="71">
        <f>D57/B57</f>
        <v>30904.023076923077</v>
      </c>
      <c r="F57" s="67">
        <v>98032</v>
      </c>
      <c r="G57" s="68">
        <f>F57+D57*12+258.78</f>
        <v>580393.54</v>
      </c>
      <c r="H57" s="69">
        <f>ROUND(G57*0.302,2)</f>
        <v>175278.85</v>
      </c>
      <c r="I57" s="69">
        <f>G57+H57</f>
        <v>755672.39</v>
      </c>
    </row>
    <row r="58" spans="1:9" ht="15.75" x14ac:dyDescent="0.25">
      <c r="A58" s="74" t="s">
        <v>135</v>
      </c>
      <c r="B58" s="75">
        <f>SUM(B57:B57)</f>
        <v>1.3</v>
      </c>
      <c r="C58" s="75"/>
      <c r="D58" s="75">
        <f>SUM(D57:D57)</f>
        <v>40175.230000000003</v>
      </c>
      <c r="E58" s="75"/>
      <c r="F58" s="75">
        <f>SUM(F57:F57)</f>
        <v>98032</v>
      </c>
      <c r="G58" s="75">
        <f>SUM(G57:G57)</f>
        <v>580393.54</v>
      </c>
      <c r="H58" s="76">
        <f>ROUND(G58*0.302,2)</f>
        <v>175278.85</v>
      </c>
      <c r="I58" s="76">
        <f>G58+H58</f>
        <v>755672.39</v>
      </c>
    </row>
    <row r="60" spans="1:9" x14ac:dyDescent="0.25">
      <c r="D60" s="507" t="s">
        <v>136</v>
      </c>
      <c r="E60" s="507"/>
      <c r="F60" s="507"/>
      <c r="G60" s="507"/>
      <c r="H60" s="507"/>
    </row>
    <row r="62" spans="1:9" x14ac:dyDescent="0.25">
      <c r="E62" s="80" t="s">
        <v>137</v>
      </c>
      <c r="F62" s="80"/>
      <c r="G62" s="80"/>
    </row>
    <row r="67" spans="1:9" ht="18.75" x14ac:dyDescent="0.25">
      <c r="A67" s="505" t="s">
        <v>122</v>
      </c>
      <c r="B67" s="505"/>
      <c r="C67" s="505"/>
      <c r="D67" s="505"/>
      <c r="E67" s="505"/>
      <c r="F67" s="505"/>
      <c r="G67" s="505"/>
      <c r="H67" s="505"/>
      <c r="I67" s="505"/>
    </row>
    <row r="68" spans="1:9" ht="15.75" x14ac:dyDescent="0.25">
      <c r="A68" s="60"/>
      <c r="B68" s="61"/>
      <c r="C68" s="61"/>
      <c r="D68" s="61"/>
      <c r="E68" s="506" t="s">
        <v>480</v>
      </c>
      <c r="F68" s="506"/>
      <c r="G68" s="506"/>
      <c r="H68" s="506"/>
      <c r="I68" s="506"/>
    </row>
    <row r="69" spans="1:9" ht="78.75" x14ac:dyDescent="0.25">
      <c r="A69" s="62" t="s">
        <v>123</v>
      </c>
      <c r="B69" s="63" t="s">
        <v>124</v>
      </c>
      <c r="C69" s="63" t="s">
        <v>139</v>
      </c>
      <c r="D69" s="63" t="s">
        <v>125</v>
      </c>
      <c r="E69" s="63" t="s">
        <v>126</v>
      </c>
      <c r="F69" s="64" t="s">
        <v>127</v>
      </c>
      <c r="G69" s="63" t="s">
        <v>128</v>
      </c>
      <c r="H69" s="64" t="s">
        <v>129</v>
      </c>
      <c r="I69" s="64" t="s">
        <v>130</v>
      </c>
    </row>
    <row r="70" spans="1:9" ht="15.75" x14ac:dyDescent="0.25">
      <c r="A70" s="147" t="s">
        <v>293</v>
      </c>
      <c r="B70" s="77"/>
      <c r="C70" s="65"/>
      <c r="D70" s="66"/>
      <c r="E70" s="66"/>
      <c r="F70" s="78"/>
      <c r="G70" s="79"/>
      <c r="H70" s="78"/>
      <c r="I70" s="78"/>
    </row>
    <row r="71" spans="1:9" ht="47.25" x14ac:dyDescent="0.25">
      <c r="A71" s="70" t="s">
        <v>481</v>
      </c>
      <c r="B71" s="313">
        <v>0.125</v>
      </c>
      <c r="C71" s="71">
        <v>5760</v>
      </c>
      <c r="D71" s="71">
        <v>2996.87</v>
      </c>
      <c r="E71" s="71">
        <f>D71/B71</f>
        <v>23974.959999999999</v>
      </c>
      <c r="F71" s="67">
        <f>D71*1.6*0.4</f>
        <v>1917.9968000000001</v>
      </c>
      <c r="G71" s="68">
        <f>F71+D71*12</f>
        <v>37880.436800000003</v>
      </c>
      <c r="H71" s="69">
        <f>ROUND(G71*0.302,2)</f>
        <v>11439.89</v>
      </c>
      <c r="I71" s="69">
        <f>G71+H71</f>
        <v>49320.326800000003</v>
      </c>
    </row>
    <row r="72" spans="1:9" ht="31.5" x14ac:dyDescent="0.25">
      <c r="A72" s="70" t="s">
        <v>482</v>
      </c>
      <c r="B72" s="71">
        <v>0.25</v>
      </c>
      <c r="C72" s="71">
        <v>5760</v>
      </c>
      <c r="D72" s="71">
        <v>5800</v>
      </c>
      <c r="E72" s="71">
        <f>D72/B72</f>
        <v>23200</v>
      </c>
      <c r="F72" s="67">
        <f>D72*1.6*0.4</f>
        <v>3712</v>
      </c>
      <c r="G72" s="68">
        <f>F72+D72*12</f>
        <v>73312</v>
      </c>
      <c r="H72" s="69">
        <f>ROUND(G72*0.302,2)</f>
        <v>22140.22</v>
      </c>
      <c r="I72" s="69">
        <f>G72+H72</f>
        <v>95452.22</v>
      </c>
    </row>
    <row r="73" spans="1:9" ht="15.75" x14ac:dyDescent="0.25">
      <c r="A73" s="70" t="s">
        <v>483</v>
      </c>
      <c r="B73" s="71">
        <v>2</v>
      </c>
      <c r="C73" s="71">
        <v>6603</v>
      </c>
      <c r="D73" s="71">
        <v>73949.5</v>
      </c>
      <c r="E73" s="71">
        <f>D73/B73</f>
        <v>36974.75</v>
      </c>
      <c r="F73" s="67">
        <f>D73*1.8*0.4</f>
        <v>53243.640000000007</v>
      </c>
      <c r="G73" s="68">
        <f>F73+D73*12-30721.97</f>
        <v>909915.67</v>
      </c>
      <c r="H73" s="69">
        <f t="shared" ref="H73" si="16">ROUND(G73*0.302,2)</f>
        <v>274794.53000000003</v>
      </c>
      <c r="I73" s="69">
        <f t="shared" ref="I73" si="17">G73+H73</f>
        <v>1184710.2000000002</v>
      </c>
    </row>
    <row r="74" spans="1:9" ht="15.75" x14ac:dyDescent="0.25">
      <c r="A74" s="74" t="s">
        <v>135</v>
      </c>
      <c r="B74" s="75">
        <f>SUM(B71:B73)</f>
        <v>2.375</v>
      </c>
      <c r="C74" s="75"/>
      <c r="D74" s="75">
        <f>SUM(D71:D73)</f>
        <v>82746.37</v>
      </c>
      <c r="E74" s="75"/>
      <c r="F74" s="75">
        <f>SUM(F71:F73)</f>
        <v>58873.636800000007</v>
      </c>
      <c r="G74" s="75">
        <f>SUM(G71:G73)-25830-0.08</f>
        <v>995278.02680000011</v>
      </c>
      <c r="H74" s="76">
        <f>ROUND(G74*0.302,2)</f>
        <v>300573.96000000002</v>
      </c>
      <c r="I74" s="76">
        <f>G74+H74</f>
        <v>1295851.9868000001</v>
      </c>
    </row>
    <row r="76" spans="1:9" x14ac:dyDescent="0.25">
      <c r="D76" s="507" t="s">
        <v>136</v>
      </c>
      <c r="E76" s="507"/>
      <c r="F76" s="507"/>
      <c r="G76" s="507"/>
      <c r="H76" s="507"/>
    </row>
    <row r="78" spans="1:9" x14ac:dyDescent="0.25">
      <c r="E78" s="80" t="s">
        <v>137</v>
      </c>
      <c r="F78" s="80"/>
      <c r="G78" s="80"/>
    </row>
    <row r="86" spans="1:6" ht="18.75" x14ac:dyDescent="0.3">
      <c r="A86" s="141" t="s">
        <v>270</v>
      </c>
      <c r="C86" s="347"/>
      <c r="D86" s="508"/>
      <c r="E86" s="508"/>
      <c r="F86" s="508"/>
    </row>
    <row r="87" spans="1:6" ht="18.75" x14ac:dyDescent="0.3">
      <c r="A87" s="143" t="s">
        <v>272</v>
      </c>
      <c r="B87" s="143"/>
      <c r="C87" s="348"/>
      <c r="D87" s="348"/>
      <c r="E87" s="347" t="s">
        <v>529</v>
      </c>
    </row>
    <row r="88" spans="1:6" ht="18.75" x14ac:dyDescent="0.3">
      <c r="A88" s="141" t="s">
        <v>274</v>
      </c>
      <c r="B88" s="141"/>
      <c r="C88" s="141"/>
      <c r="D88" s="141"/>
      <c r="E88" s="349" t="s">
        <v>530</v>
      </c>
      <c r="F88" s="309"/>
    </row>
    <row r="89" spans="1:6" x14ac:dyDescent="0.25">
      <c r="A89" s="509" t="s">
        <v>531</v>
      </c>
      <c r="B89" s="510"/>
      <c r="C89" s="510"/>
      <c r="D89" s="510"/>
      <c r="E89" s="510"/>
      <c r="F89" s="510"/>
    </row>
    <row r="90" spans="1:6" x14ac:dyDescent="0.25">
      <c r="A90" s="511"/>
      <c r="B90" s="512"/>
      <c r="C90" s="512"/>
      <c r="D90" s="512"/>
      <c r="E90" s="512"/>
      <c r="F90" s="512"/>
    </row>
    <row r="91" spans="1:6" x14ac:dyDescent="0.25">
      <c r="A91" s="513"/>
      <c r="B91" s="514"/>
      <c r="C91" s="514"/>
      <c r="D91" s="514"/>
      <c r="E91" s="514"/>
      <c r="F91" s="514"/>
    </row>
    <row r="92" spans="1:6" x14ac:dyDescent="0.25">
      <c r="A92" s="515" t="s">
        <v>532</v>
      </c>
      <c r="B92" s="516"/>
      <c r="C92" s="516"/>
      <c r="D92" s="516"/>
      <c r="E92" s="517"/>
      <c r="F92" s="350">
        <v>328968</v>
      </c>
    </row>
    <row r="93" spans="1:6" x14ac:dyDescent="0.25">
      <c r="A93" s="518" t="s">
        <v>533</v>
      </c>
      <c r="B93" s="519"/>
      <c r="C93" s="519"/>
      <c r="D93" s="519"/>
      <c r="E93" s="520"/>
      <c r="F93" s="351">
        <v>99348.34</v>
      </c>
    </row>
    <row r="94" spans="1:6" x14ac:dyDescent="0.25">
      <c r="A94" s="521" t="s">
        <v>284</v>
      </c>
      <c r="B94" s="522"/>
      <c r="C94" s="522"/>
      <c r="D94" s="522"/>
      <c r="E94" s="523"/>
      <c r="F94" s="352">
        <f>F92+F93</f>
        <v>428316.33999999997</v>
      </c>
    </row>
    <row r="97" spans="1:9" x14ac:dyDescent="0.25">
      <c r="C97" s="507" t="s">
        <v>534</v>
      </c>
      <c r="D97" s="507"/>
      <c r="E97" s="507"/>
    </row>
    <row r="99" spans="1:9" x14ac:dyDescent="0.25">
      <c r="C99" s="507" t="s">
        <v>535</v>
      </c>
      <c r="D99" s="507"/>
      <c r="E99" s="507"/>
    </row>
    <row r="103" spans="1:9" ht="18.75" x14ac:dyDescent="0.25">
      <c r="A103" s="505" t="s">
        <v>122</v>
      </c>
      <c r="B103" s="505"/>
      <c r="C103" s="505"/>
      <c r="D103" s="505"/>
      <c r="E103" s="505"/>
      <c r="F103" s="505"/>
      <c r="G103" s="505"/>
      <c r="H103" s="505"/>
      <c r="I103" s="505"/>
    </row>
    <row r="104" spans="1:9" ht="15.75" x14ac:dyDescent="0.25">
      <c r="A104" s="60"/>
      <c r="B104" s="61"/>
      <c r="C104" s="61"/>
      <c r="D104" s="61"/>
      <c r="E104" s="506" t="s">
        <v>143</v>
      </c>
      <c r="F104" s="506"/>
      <c r="G104" s="506"/>
      <c r="H104" s="506"/>
      <c r="I104" s="506"/>
    </row>
    <row r="105" spans="1:9" ht="78.75" x14ac:dyDescent="0.25">
      <c r="A105" s="62" t="s">
        <v>123</v>
      </c>
      <c r="B105" s="63" t="s">
        <v>124</v>
      </c>
      <c r="C105" s="63" t="s">
        <v>139</v>
      </c>
      <c r="D105" s="63" t="s">
        <v>125</v>
      </c>
      <c r="E105" s="63" t="s">
        <v>126</v>
      </c>
      <c r="F105" s="64" t="s">
        <v>127</v>
      </c>
      <c r="G105" s="63" t="s">
        <v>128</v>
      </c>
      <c r="H105" s="64" t="s">
        <v>129</v>
      </c>
      <c r="I105" s="64" t="s">
        <v>130</v>
      </c>
    </row>
    <row r="106" spans="1:9" ht="47.25" x14ac:dyDescent="0.25">
      <c r="A106" s="70" t="s">
        <v>145</v>
      </c>
      <c r="B106" s="71">
        <v>1</v>
      </c>
      <c r="C106" s="71">
        <v>6866</v>
      </c>
      <c r="D106" s="71">
        <v>42315.14</v>
      </c>
      <c r="E106" s="71">
        <f>D106/B106</f>
        <v>42315.14</v>
      </c>
      <c r="F106" s="67">
        <f>(E106*40%)*2</f>
        <v>33852.112000000001</v>
      </c>
      <c r="G106" s="68">
        <f>F106+D106*12-0.34</f>
        <v>541633.45200000005</v>
      </c>
      <c r="H106" s="69">
        <f t="shared" ref="H106" si="18">ROUND(G106*0.302,2)</f>
        <v>163573.29999999999</v>
      </c>
      <c r="I106" s="69">
        <f t="shared" ref="I106" si="19">G106+H106</f>
        <v>705206.75200000009</v>
      </c>
    </row>
    <row r="107" spans="1:9" ht="15.75" x14ac:dyDescent="0.25">
      <c r="A107" s="74" t="s">
        <v>135</v>
      </c>
      <c r="B107" s="75">
        <f>B106</f>
        <v>1</v>
      </c>
      <c r="C107" s="75"/>
      <c r="D107" s="75">
        <f>SUM(D106:D106)</f>
        <v>42315.14</v>
      </c>
      <c r="E107" s="75">
        <f>E106</f>
        <v>42315.14</v>
      </c>
      <c r="F107" s="75">
        <f>SUM(F106:F106)</f>
        <v>33852.112000000001</v>
      </c>
      <c r="G107" s="75">
        <f>SUM(G106:G106)</f>
        <v>541633.45200000005</v>
      </c>
      <c r="H107" s="76">
        <f>ROUND(G107*0.302,2)</f>
        <v>163573.29999999999</v>
      </c>
      <c r="I107" s="76">
        <f>G107+H107</f>
        <v>705206.75200000009</v>
      </c>
    </row>
    <row r="109" spans="1:9" x14ac:dyDescent="0.25">
      <c r="D109" s="507" t="s">
        <v>136</v>
      </c>
      <c r="E109" s="507"/>
      <c r="F109" s="507"/>
      <c r="G109" s="507"/>
      <c r="H109" s="507"/>
    </row>
    <row r="111" spans="1:9" x14ac:dyDescent="0.25">
      <c r="D111" s="507" t="s">
        <v>585</v>
      </c>
      <c r="E111" s="507"/>
      <c r="F111" s="507"/>
      <c r="G111" s="507"/>
      <c r="H111" s="507"/>
    </row>
    <row r="115" spans="1:14" s="375" customFormat="1" ht="15.75" customHeight="1" x14ac:dyDescent="0.3">
      <c r="A115" s="141" t="s">
        <v>270</v>
      </c>
      <c r="B115"/>
      <c r="C115" s="508" t="s">
        <v>586</v>
      </c>
      <c r="D115" s="508"/>
      <c r="E115" s="508"/>
      <c r="F115" s="245"/>
      <c r="G115" s="245"/>
      <c r="H115" s="234"/>
      <c r="I115" s="234"/>
      <c r="J115" s="374"/>
      <c r="K115" s="374"/>
      <c r="L115" s="374"/>
      <c r="M115" s="374"/>
      <c r="N115" s="374"/>
    </row>
    <row r="116" spans="1:14" s="375" customFormat="1" ht="15.75" customHeight="1" x14ac:dyDescent="0.3">
      <c r="A116" s="143" t="s">
        <v>272</v>
      </c>
      <c r="B116" s="143"/>
      <c r="C116" s="348" t="s">
        <v>587</v>
      </c>
      <c r="D116" s="348"/>
      <c r="E116" s="348"/>
      <c r="F116" s="245"/>
      <c r="G116" s="245"/>
      <c r="H116" s="234"/>
      <c r="I116" s="234"/>
      <c r="J116" s="374"/>
      <c r="K116" s="374"/>
      <c r="L116" s="374"/>
      <c r="M116" s="374"/>
      <c r="N116" s="374"/>
    </row>
    <row r="117" spans="1:14" s="375" customFormat="1" ht="15.75" customHeight="1" x14ac:dyDescent="0.3">
      <c r="A117" s="141" t="s">
        <v>274</v>
      </c>
      <c r="B117" s="141"/>
      <c r="C117" s="141"/>
      <c r="D117" s="349" t="s">
        <v>530</v>
      </c>
      <c r="E117" s="309"/>
      <c r="F117" s="245"/>
      <c r="G117" s="245"/>
      <c r="H117" s="234"/>
      <c r="I117" s="234"/>
      <c r="J117" s="374"/>
      <c r="K117" s="374"/>
      <c r="L117" s="374"/>
      <c r="M117" s="374"/>
      <c r="N117" s="374"/>
    </row>
    <row r="118" spans="1:14" s="375" customFormat="1" ht="40.5" customHeight="1" x14ac:dyDescent="0.25">
      <c r="A118" s="509" t="s">
        <v>588</v>
      </c>
      <c r="B118" s="510"/>
      <c r="C118" s="510"/>
      <c r="D118" s="510"/>
      <c r="E118" s="510"/>
      <c r="F118" s="416"/>
      <c r="G118" s="245"/>
      <c r="H118" s="234"/>
      <c r="I118" s="234"/>
      <c r="J118" s="374"/>
      <c r="K118" s="374"/>
      <c r="L118" s="374"/>
      <c r="M118" s="374"/>
      <c r="N118" s="374"/>
    </row>
    <row r="119" spans="1:14" s="375" customFormat="1" ht="79.5" customHeight="1" x14ac:dyDescent="0.25">
      <c r="A119" s="511"/>
      <c r="B119" s="512"/>
      <c r="C119" s="512"/>
      <c r="D119" s="512"/>
      <c r="E119" s="512"/>
      <c r="F119" s="417"/>
      <c r="G119" s="245"/>
      <c r="H119" s="234"/>
      <c r="I119" s="234"/>
      <c r="J119" s="374"/>
      <c r="K119" s="374"/>
      <c r="L119" s="374"/>
      <c r="M119" s="374"/>
      <c r="N119" s="374"/>
    </row>
    <row r="120" spans="1:14" s="375" customFormat="1" ht="22.5" hidden="1" customHeight="1" x14ac:dyDescent="0.25">
      <c r="A120" s="513"/>
      <c r="B120" s="514"/>
      <c r="C120" s="514"/>
      <c r="D120" s="514"/>
      <c r="E120" s="514"/>
      <c r="F120" s="418"/>
      <c r="G120" s="245"/>
      <c r="H120" s="234"/>
      <c r="I120" s="234"/>
      <c r="J120" s="374"/>
      <c r="K120" s="374"/>
      <c r="L120" s="374"/>
      <c r="M120" s="374"/>
      <c r="N120" s="374"/>
    </row>
    <row r="121" spans="1:14" s="375" customFormat="1" ht="22.5" customHeight="1" x14ac:dyDescent="0.25">
      <c r="A121" s="526" t="s">
        <v>532</v>
      </c>
      <c r="B121" s="527"/>
      <c r="C121" s="527"/>
      <c r="D121" s="415"/>
      <c r="E121" s="419">
        <f>2586221.48-276214.42</f>
        <v>2310007.06</v>
      </c>
      <c r="F121" s="245"/>
      <c r="G121" s="245"/>
      <c r="H121" s="234"/>
      <c r="I121" s="234"/>
      <c r="J121" s="374"/>
      <c r="K121" s="374"/>
      <c r="L121" s="374"/>
      <c r="M121" s="374"/>
      <c r="N121" s="374"/>
    </row>
    <row r="122" spans="1:14" s="375" customFormat="1" ht="22.5" customHeight="1" x14ac:dyDescent="0.25">
      <c r="A122" s="528" t="s">
        <v>533</v>
      </c>
      <c r="B122" s="529"/>
      <c r="C122" s="529"/>
      <c r="D122" s="420"/>
      <c r="E122" s="421">
        <f>781038.89-83416.763</f>
        <v>697622.12699999998</v>
      </c>
      <c r="F122" s="245"/>
      <c r="G122" s="245"/>
      <c r="H122" s="234"/>
      <c r="I122" s="234"/>
      <c r="J122" s="374"/>
      <c r="K122" s="374"/>
      <c r="L122" s="374"/>
      <c r="M122" s="374"/>
      <c r="N122" s="374"/>
    </row>
    <row r="123" spans="1:14" s="375" customFormat="1" ht="22.5" customHeight="1" x14ac:dyDescent="0.25">
      <c r="A123" s="528" t="s">
        <v>284</v>
      </c>
      <c r="B123" s="529"/>
      <c r="C123" s="529"/>
      <c r="D123" s="420"/>
      <c r="E123" s="422">
        <f>E121+E122</f>
        <v>3007629.1869999999</v>
      </c>
      <c r="F123" s="245"/>
      <c r="G123" s="245"/>
      <c r="H123" s="234"/>
      <c r="I123" s="234"/>
      <c r="J123" s="374"/>
      <c r="K123" s="374"/>
      <c r="L123" s="374"/>
      <c r="M123" s="374"/>
      <c r="N123" s="374"/>
    </row>
    <row r="124" spans="1:14" s="375" customFormat="1" ht="40.5" customHeight="1" x14ac:dyDescent="0.25">
      <c r="A124" s="234"/>
      <c r="B124" s="245"/>
      <c r="C124" s="245"/>
      <c r="D124" s="245"/>
      <c r="E124" s="245"/>
      <c r="F124" s="245"/>
      <c r="G124" s="245"/>
      <c r="H124" s="234"/>
      <c r="I124" s="234"/>
      <c r="J124" s="374"/>
      <c r="K124" s="374"/>
      <c r="L124" s="374"/>
      <c r="M124" s="374"/>
      <c r="N124" s="374"/>
    </row>
    <row r="125" spans="1:14" x14ac:dyDescent="0.25">
      <c r="B125" t="s">
        <v>589</v>
      </c>
      <c r="E125" t="s">
        <v>554</v>
      </c>
    </row>
    <row r="126" spans="1:14" x14ac:dyDescent="0.25">
      <c r="B126" t="s">
        <v>570</v>
      </c>
      <c r="E126" t="s">
        <v>590</v>
      </c>
    </row>
  </sheetData>
  <mergeCells count="30">
    <mergeCell ref="C115:E115"/>
    <mergeCell ref="A118:E120"/>
    <mergeCell ref="A121:C121"/>
    <mergeCell ref="A122:C122"/>
    <mergeCell ref="A123:C123"/>
    <mergeCell ref="B2:G2"/>
    <mergeCell ref="C1:F1"/>
    <mergeCell ref="A16:I16"/>
    <mergeCell ref="E17:I17"/>
    <mergeCell ref="D76:H76"/>
    <mergeCell ref="D26:H26"/>
    <mergeCell ref="A32:I32"/>
    <mergeCell ref="E33:I33"/>
    <mergeCell ref="D46:H46"/>
    <mergeCell ref="A53:I53"/>
    <mergeCell ref="E54:I54"/>
    <mergeCell ref="D60:H60"/>
    <mergeCell ref="A67:I67"/>
    <mergeCell ref="E68:I68"/>
    <mergeCell ref="D86:F86"/>
    <mergeCell ref="A89:F91"/>
    <mergeCell ref="A92:E92"/>
    <mergeCell ref="A93:E93"/>
    <mergeCell ref="A94:E94"/>
    <mergeCell ref="A103:I103"/>
    <mergeCell ref="E104:I104"/>
    <mergeCell ref="D109:H109"/>
    <mergeCell ref="D111:H111"/>
    <mergeCell ref="C97:E97"/>
    <mergeCell ref="C99:E99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opLeftCell="A109" workbookViewId="0">
      <selection activeCell="U23" sqref="U23"/>
    </sheetView>
  </sheetViews>
  <sheetFormatPr defaultRowHeight="15" x14ac:dyDescent="0.25"/>
  <cols>
    <col min="2" max="2" width="11.85546875" customWidth="1"/>
    <col min="3" max="3" width="12.85546875" customWidth="1"/>
    <col min="5" max="5" width="21" customWidth="1"/>
    <col min="6" max="6" width="20.5703125" customWidth="1"/>
    <col min="12" max="12" width="14.140625" customWidth="1"/>
  </cols>
  <sheetData>
    <row r="1" spans="1:14" ht="15.75" x14ac:dyDescent="0.25">
      <c r="A1" s="550" t="s">
        <v>150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</row>
    <row r="2" spans="1:14" ht="15.75" x14ac:dyDescent="0.25">
      <c r="A2" s="550" t="s">
        <v>151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</row>
    <row r="3" spans="1:14" x14ac:dyDescent="0.25">
      <c r="E3" s="551" t="s">
        <v>152</v>
      </c>
      <c r="F3" s="551"/>
      <c r="G3" s="551"/>
      <c r="H3" s="551"/>
      <c r="I3" s="551"/>
      <c r="J3" s="551"/>
    </row>
    <row r="4" spans="1:14" ht="15.75" x14ac:dyDescent="0.25">
      <c r="A4" s="546" t="s">
        <v>153</v>
      </c>
      <c r="B4" s="546" t="s">
        <v>1</v>
      </c>
      <c r="C4" s="546" t="s">
        <v>154</v>
      </c>
      <c r="D4" s="546"/>
      <c r="E4" s="546"/>
      <c r="F4" s="547" t="s">
        <v>155</v>
      </c>
      <c r="G4" s="548"/>
      <c r="H4" s="549"/>
      <c r="I4" s="546" t="s">
        <v>156</v>
      </c>
      <c r="J4" s="546"/>
      <c r="K4" s="546"/>
      <c r="L4" s="546" t="s">
        <v>157</v>
      </c>
      <c r="M4" s="546"/>
      <c r="N4" s="546"/>
    </row>
    <row r="5" spans="1:14" ht="31.5" x14ac:dyDescent="0.25">
      <c r="A5" s="546"/>
      <c r="B5" s="546"/>
      <c r="C5" s="81" t="s">
        <v>79</v>
      </c>
      <c r="D5" s="81" t="s">
        <v>80</v>
      </c>
      <c r="E5" s="81" t="s">
        <v>81</v>
      </c>
      <c r="F5" s="81" t="s">
        <v>79</v>
      </c>
      <c r="G5" s="81" t="s">
        <v>80</v>
      </c>
      <c r="H5" s="81" t="s">
        <v>81</v>
      </c>
      <c r="I5" s="81" t="s">
        <v>79</v>
      </c>
      <c r="J5" s="81" t="s">
        <v>80</v>
      </c>
      <c r="K5" s="81" t="s">
        <v>158</v>
      </c>
      <c r="L5" s="81" t="s">
        <v>79</v>
      </c>
      <c r="M5" s="81" t="s">
        <v>80</v>
      </c>
      <c r="N5" s="81" t="s">
        <v>81</v>
      </c>
    </row>
    <row r="6" spans="1:14" ht="75" x14ac:dyDescent="0.25">
      <c r="A6" s="546"/>
      <c r="B6" s="546"/>
      <c r="C6" s="59" t="s">
        <v>60</v>
      </c>
      <c r="D6" s="59" t="s">
        <v>61</v>
      </c>
      <c r="E6" s="59" t="s">
        <v>62</v>
      </c>
      <c r="F6" s="59" t="s">
        <v>60</v>
      </c>
      <c r="G6" s="59" t="s">
        <v>61</v>
      </c>
      <c r="H6" s="59" t="s">
        <v>62</v>
      </c>
      <c r="I6" s="59" t="s">
        <v>60</v>
      </c>
      <c r="J6" s="59" t="s">
        <v>61</v>
      </c>
      <c r="K6" s="59" t="s">
        <v>62</v>
      </c>
      <c r="L6" s="59" t="s">
        <v>60</v>
      </c>
      <c r="M6" s="59" t="s">
        <v>61</v>
      </c>
      <c r="N6" s="59" t="s">
        <v>62</v>
      </c>
    </row>
    <row r="7" spans="1:14" ht="15.75" x14ac:dyDescent="0.25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</row>
    <row r="8" spans="1:14" ht="47.25" x14ac:dyDescent="0.25">
      <c r="A8" s="82" t="s">
        <v>159</v>
      </c>
      <c r="B8" s="81">
        <v>1</v>
      </c>
      <c r="C8" s="83">
        <v>450</v>
      </c>
      <c r="D8" s="83"/>
      <c r="E8" s="83"/>
      <c r="F8" s="82">
        <v>12</v>
      </c>
      <c r="G8" s="82"/>
      <c r="H8" s="82"/>
      <c r="I8" s="82">
        <v>2</v>
      </c>
      <c r="J8" s="82"/>
      <c r="K8" s="82"/>
      <c r="L8" s="83">
        <f>C8*F8*I8-800</f>
        <v>10000</v>
      </c>
      <c r="M8" s="83">
        <f>D8*G8*J8</f>
        <v>0</v>
      </c>
      <c r="N8" s="83">
        <f>E8*H8*K8</f>
        <v>0</v>
      </c>
    </row>
    <row r="9" spans="1:14" ht="15.75" x14ac:dyDescent="0.25">
      <c r="A9" s="82" t="s">
        <v>135</v>
      </c>
      <c r="B9" s="81">
        <v>9000</v>
      </c>
      <c r="C9" s="81"/>
      <c r="D9" s="81"/>
      <c r="E9" s="81"/>
      <c r="F9" s="81"/>
      <c r="G9" s="81"/>
      <c r="H9" s="81"/>
      <c r="I9" s="81"/>
      <c r="J9" s="81"/>
      <c r="K9" s="81"/>
      <c r="L9" s="84">
        <f>SUM(L8:L8)</f>
        <v>10000</v>
      </c>
      <c r="M9" s="84">
        <f>SUM(M8:M8)</f>
        <v>0</v>
      </c>
      <c r="N9" s="84">
        <f>SUM(N8:N8)</f>
        <v>0</v>
      </c>
    </row>
    <row r="11" spans="1:14" x14ac:dyDescent="0.25">
      <c r="D11" s="507" t="s">
        <v>160</v>
      </c>
      <c r="E11" s="507"/>
      <c r="F11" s="507"/>
      <c r="G11" s="507"/>
      <c r="H11" s="507"/>
      <c r="I11" s="507"/>
      <c r="J11" s="507"/>
      <c r="K11" s="507"/>
      <c r="L11" s="507"/>
    </row>
    <row r="13" spans="1:14" x14ac:dyDescent="0.25">
      <c r="D13" s="507" t="s">
        <v>161</v>
      </c>
      <c r="E13" s="507"/>
      <c r="F13" s="507"/>
      <c r="G13" s="507"/>
      <c r="H13" s="507"/>
      <c r="I13" s="507"/>
      <c r="J13" s="507"/>
      <c r="K13" s="507"/>
      <c r="L13" s="507"/>
    </row>
    <row r="18" spans="1:14" ht="15.75" x14ac:dyDescent="0.25">
      <c r="A18" s="550" t="s">
        <v>150</v>
      </c>
      <c r="B18" s="55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</row>
    <row r="19" spans="1:14" ht="15.75" x14ac:dyDescent="0.25">
      <c r="A19" s="550" t="s">
        <v>151</v>
      </c>
      <c r="B19" s="550"/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</row>
    <row r="20" spans="1:14" x14ac:dyDescent="0.25">
      <c r="E20" s="551" t="s">
        <v>162</v>
      </c>
      <c r="F20" s="551"/>
      <c r="G20" s="551"/>
      <c r="H20" s="551"/>
      <c r="I20" s="551"/>
      <c r="J20" s="551"/>
    </row>
    <row r="21" spans="1:14" ht="15.75" x14ac:dyDescent="0.25">
      <c r="A21" s="546" t="s">
        <v>153</v>
      </c>
      <c r="B21" s="546" t="s">
        <v>1</v>
      </c>
      <c r="C21" s="546" t="s">
        <v>154</v>
      </c>
      <c r="D21" s="546"/>
      <c r="E21" s="546"/>
      <c r="F21" s="547" t="s">
        <v>155</v>
      </c>
      <c r="G21" s="548"/>
      <c r="H21" s="549"/>
      <c r="I21" s="546" t="s">
        <v>156</v>
      </c>
      <c r="J21" s="546"/>
      <c r="K21" s="546"/>
      <c r="L21" s="546" t="s">
        <v>157</v>
      </c>
      <c r="M21" s="546"/>
      <c r="N21" s="546"/>
    </row>
    <row r="22" spans="1:14" ht="31.5" x14ac:dyDescent="0.25">
      <c r="A22" s="546"/>
      <c r="B22" s="546"/>
      <c r="C22" s="81" t="s">
        <v>79</v>
      </c>
      <c r="D22" s="81" t="s">
        <v>80</v>
      </c>
      <c r="E22" s="81" t="s">
        <v>81</v>
      </c>
      <c r="F22" s="81" t="s">
        <v>79</v>
      </c>
      <c r="G22" s="81" t="s">
        <v>80</v>
      </c>
      <c r="H22" s="81" t="s">
        <v>81</v>
      </c>
      <c r="I22" s="81" t="s">
        <v>79</v>
      </c>
      <c r="J22" s="81" t="s">
        <v>80</v>
      </c>
      <c r="K22" s="81" t="s">
        <v>158</v>
      </c>
      <c r="L22" s="81" t="s">
        <v>79</v>
      </c>
      <c r="M22" s="81" t="s">
        <v>80</v>
      </c>
      <c r="N22" s="81" t="s">
        <v>81</v>
      </c>
    </row>
    <row r="23" spans="1:14" ht="75" x14ac:dyDescent="0.25">
      <c r="A23" s="546"/>
      <c r="B23" s="546"/>
      <c r="C23" s="59" t="s">
        <v>60</v>
      </c>
      <c r="D23" s="59" t="s">
        <v>61</v>
      </c>
      <c r="E23" s="59" t="s">
        <v>62</v>
      </c>
      <c r="F23" s="59" t="s">
        <v>60</v>
      </c>
      <c r="G23" s="59" t="s">
        <v>61</v>
      </c>
      <c r="H23" s="59" t="s">
        <v>62</v>
      </c>
      <c r="I23" s="59" t="s">
        <v>60</v>
      </c>
      <c r="J23" s="59" t="s">
        <v>61</v>
      </c>
      <c r="K23" s="59" t="s">
        <v>62</v>
      </c>
      <c r="L23" s="59" t="s">
        <v>60</v>
      </c>
      <c r="M23" s="59" t="s">
        <v>61</v>
      </c>
      <c r="N23" s="59" t="s">
        <v>62</v>
      </c>
    </row>
    <row r="24" spans="1:14" ht="15.75" x14ac:dyDescent="0.25">
      <c r="A24" s="81">
        <v>1</v>
      </c>
      <c r="B24" s="81">
        <v>2</v>
      </c>
      <c r="C24" s="81">
        <v>3</v>
      </c>
      <c r="D24" s="81">
        <v>4</v>
      </c>
      <c r="E24" s="81">
        <v>5</v>
      </c>
      <c r="F24" s="81">
        <v>6</v>
      </c>
      <c r="G24" s="81">
        <v>7</v>
      </c>
      <c r="H24" s="81">
        <v>8</v>
      </c>
      <c r="I24" s="81">
        <v>9</v>
      </c>
      <c r="J24" s="81">
        <v>10</v>
      </c>
      <c r="K24" s="81">
        <v>11</v>
      </c>
      <c r="L24" s="81">
        <v>12</v>
      </c>
      <c r="M24" s="81">
        <v>13</v>
      </c>
      <c r="N24" s="81">
        <v>14</v>
      </c>
    </row>
    <row r="25" spans="1:14" ht="47.25" x14ac:dyDescent="0.25">
      <c r="A25" s="82" t="s">
        <v>159</v>
      </c>
      <c r="B25" s="81">
        <v>1</v>
      </c>
      <c r="C25" s="83">
        <v>450</v>
      </c>
      <c r="D25" s="83"/>
      <c r="E25" s="83"/>
      <c r="F25" s="82">
        <v>20</v>
      </c>
      <c r="G25" s="82"/>
      <c r="H25" s="82"/>
      <c r="I25" s="82">
        <v>10</v>
      </c>
      <c r="J25" s="82"/>
      <c r="K25" s="82"/>
      <c r="L25" s="83">
        <f>C25*F25*I25</f>
        <v>90000</v>
      </c>
      <c r="M25" s="83">
        <f>D25*G25*J25</f>
        <v>0</v>
      </c>
      <c r="N25" s="83">
        <f>E25*H25*K25</f>
        <v>0</v>
      </c>
    </row>
    <row r="26" spans="1:14" ht="15.75" x14ac:dyDescent="0.25">
      <c r="A26" s="82" t="s">
        <v>163</v>
      </c>
      <c r="B26" s="81"/>
      <c r="C26" s="83">
        <v>5000</v>
      </c>
      <c r="D26" s="83"/>
      <c r="E26" s="83"/>
      <c r="F26" s="82">
        <v>2</v>
      </c>
      <c r="G26" s="82"/>
      <c r="H26" s="82"/>
      <c r="I26" s="82"/>
      <c r="J26" s="82"/>
      <c r="K26" s="82"/>
      <c r="L26" s="83">
        <f>C26*F26</f>
        <v>10000</v>
      </c>
      <c r="M26" s="83"/>
      <c r="N26" s="83"/>
    </row>
    <row r="27" spans="1:14" ht="15.75" x14ac:dyDescent="0.25">
      <c r="A27" s="82" t="s">
        <v>135</v>
      </c>
      <c r="B27" s="81">
        <v>9000</v>
      </c>
      <c r="C27" s="81"/>
      <c r="D27" s="81"/>
      <c r="E27" s="81"/>
      <c r="F27" s="81"/>
      <c r="G27" s="81"/>
      <c r="H27" s="81"/>
      <c r="I27" s="81"/>
      <c r="J27" s="81"/>
      <c r="K27" s="81"/>
      <c r="L27" s="84">
        <f>L25+L26</f>
        <v>100000</v>
      </c>
      <c r="M27" s="84">
        <f>SUM(M25:M25)</f>
        <v>0</v>
      </c>
      <c r="N27" s="84">
        <f>SUM(N25:N25)</f>
        <v>0</v>
      </c>
    </row>
    <row r="29" spans="1:14" x14ac:dyDescent="0.25">
      <c r="D29" s="507" t="s">
        <v>160</v>
      </c>
      <c r="E29" s="507"/>
      <c r="F29" s="507"/>
      <c r="G29" s="507"/>
      <c r="H29" s="507"/>
      <c r="I29" s="507"/>
      <c r="J29" s="507"/>
      <c r="K29" s="507"/>
      <c r="L29" s="507"/>
    </row>
    <row r="31" spans="1:14" x14ac:dyDescent="0.25">
      <c r="D31" s="507" t="s">
        <v>161</v>
      </c>
      <c r="E31" s="507"/>
      <c r="F31" s="507"/>
      <c r="G31" s="507"/>
      <c r="H31" s="507"/>
      <c r="I31" s="507"/>
      <c r="J31" s="507"/>
      <c r="K31" s="507"/>
      <c r="L31" s="507"/>
    </row>
    <row r="34" spans="1:14" ht="15.75" x14ac:dyDescent="0.25">
      <c r="A34" s="550" t="s">
        <v>150</v>
      </c>
      <c r="B34" s="550"/>
      <c r="C34" s="550"/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</row>
    <row r="35" spans="1:14" ht="15.75" x14ac:dyDescent="0.25">
      <c r="A35" s="550" t="s">
        <v>151</v>
      </c>
      <c r="B35" s="550"/>
      <c r="C35" s="550"/>
      <c r="D35" s="550"/>
      <c r="E35" s="550"/>
      <c r="F35" s="550"/>
      <c r="G35" s="550"/>
      <c r="H35" s="550"/>
      <c r="I35" s="550"/>
      <c r="J35" s="550"/>
      <c r="K35" s="550"/>
      <c r="L35" s="550"/>
      <c r="M35" s="550"/>
      <c r="N35" s="550"/>
    </row>
    <row r="36" spans="1:14" x14ac:dyDescent="0.25">
      <c r="E36" s="551" t="s">
        <v>164</v>
      </c>
      <c r="F36" s="551"/>
      <c r="G36" s="551"/>
      <c r="H36" s="551"/>
      <c r="I36" s="551"/>
      <c r="J36" s="551"/>
    </row>
    <row r="37" spans="1:14" ht="15.75" x14ac:dyDescent="0.25">
      <c r="A37" s="546" t="s">
        <v>153</v>
      </c>
      <c r="B37" s="546" t="s">
        <v>1</v>
      </c>
      <c r="C37" s="546" t="s">
        <v>154</v>
      </c>
      <c r="D37" s="546"/>
      <c r="E37" s="546"/>
      <c r="F37" s="547" t="s">
        <v>155</v>
      </c>
      <c r="G37" s="548"/>
      <c r="H37" s="549"/>
      <c r="I37" s="546" t="s">
        <v>156</v>
      </c>
      <c r="J37" s="546"/>
      <c r="K37" s="546"/>
      <c r="L37" s="546" t="s">
        <v>157</v>
      </c>
      <c r="M37" s="546"/>
      <c r="N37" s="546"/>
    </row>
    <row r="38" spans="1:14" ht="31.5" x14ac:dyDescent="0.25">
      <c r="A38" s="546"/>
      <c r="B38" s="546"/>
      <c r="C38" s="81" t="s">
        <v>79</v>
      </c>
      <c r="D38" s="81" t="s">
        <v>80</v>
      </c>
      <c r="E38" s="81" t="s">
        <v>81</v>
      </c>
      <c r="F38" s="81" t="s">
        <v>79</v>
      </c>
      <c r="G38" s="81" t="s">
        <v>80</v>
      </c>
      <c r="H38" s="81" t="s">
        <v>81</v>
      </c>
      <c r="I38" s="81" t="s">
        <v>79</v>
      </c>
      <c r="J38" s="81" t="s">
        <v>80</v>
      </c>
      <c r="K38" s="81" t="s">
        <v>158</v>
      </c>
      <c r="L38" s="81" t="s">
        <v>79</v>
      </c>
      <c r="M38" s="81" t="s">
        <v>80</v>
      </c>
      <c r="N38" s="81" t="s">
        <v>81</v>
      </c>
    </row>
    <row r="39" spans="1:14" ht="75" x14ac:dyDescent="0.25">
      <c r="A39" s="546"/>
      <c r="B39" s="546"/>
      <c r="C39" s="59" t="s">
        <v>60</v>
      </c>
      <c r="D39" s="59" t="s">
        <v>61</v>
      </c>
      <c r="E39" s="59" t="s">
        <v>62</v>
      </c>
      <c r="F39" s="59" t="s">
        <v>60</v>
      </c>
      <c r="G39" s="59" t="s">
        <v>61</v>
      </c>
      <c r="H39" s="59" t="s">
        <v>62</v>
      </c>
      <c r="I39" s="59" t="s">
        <v>60</v>
      </c>
      <c r="J39" s="59" t="s">
        <v>61</v>
      </c>
      <c r="K39" s="59" t="s">
        <v>62</v>
      </c>
      <c r="L39" s="59" t="s">
        <v>60</v>
      </c>
      <c r="M39" s="59" t="s">
        <v>61</v>
      </c>
      <c r="N39" s="59" t="s">
        <v>62</v>
      </c>
    </row>
    <row r="40" spans="1:14" ht="15.75" x14ac:dyDescent="0.25">
      <c r="A40" s="81">
        <v>1</v>
      </c>
      <c r="B40" s="81">
        <v>2</v>
      </c>
      <c r="C40" s="81">
        <v>3</v>
      </c>
      <c r="D40" s="81">
        <v>4</v>
      </c>
      <c r="E40" s="81">
        <v>5</v>
      </c>
      <c r="F40" s="81">
        <v>6</v>
      </c>
      <c r="G40" s="81">
        <v>7</v>
      </c>
      <c r="H40" s="81">
        <v>8</v>
      </c>
      <c r="I40" s="81">
        <v>9</v>
      </c>
      <c r="J40" s="81">
        <v>10</v>
      </c>
      <c r="K40" s="81">
        <v>11</v>
      </c>
      <c r="L40" s="81">
        <v>12</v>
      </c>
      <c r="M40" s="81">
        <v>13</v>
      </c>
      <c r="N40" s="81">
        <v>14</v>
      </c>
    </row>
    <row r="41" spans="1:14" ht="47.25" x14ac:dyDescent="0.25">
      <c r="A41" s="82" t="s">
        <v>159</v>
      </c>
      <c r="B41" s="81">
        <v>1</v>
      </c>
      <c r="C41" s="83">
        <v>450</v>
      </c>
      <c r="D41" s="83"/>
      <c r="E41" s="83"/>
      <c r="F41" s="82">
        <v>11</v>
      </c>
      <c r="G41" s="82"/>
      <c r="H41" s="82"/>
      <c r="I41" s="82">
        <v>1</v>
      </c>
      <c r="J41" s="82"/>
      <c r="K41" s="82"/>
      <c r="L41" s="83">
        <f>C41*F41*I41+50</f>
        <v>5000</v>
      </c>
      <c r="M41" s="83">
        <f>D41*G41*J41</f>
        <v>0</v>
      </c>
      <c r="N41" s="83">
        <f>E41*H41*K41</f>
        <v>0</v>
      </c>
    </row>
    <row r="42" spans="1:14" ht="15.75" x14ac:dyDescent="0.25">
      <c r="A42" s="82" t="s">
        <v>135</v>
      </c>
      <c r="B42" s="81">
        <v>9000</v>
      </c>
      <c r="C42" s="81"/>
      <c r="D42" s="81"/>
      <c r="E42" s="81"/>
      <c r="F42" s="81"/>
      <c r="G42" s="81"/>
      <c r="H42" s="81"/>
      <c r="I42" s="81"/>
      <c r="J42" s="81"/>
      <c r="K42" s="81"/>
      <c r="L42" s="84">
        <f>SUM(L41:L41)</f>
        <v>5000</v>
      </c>
      <c r="M42" s="84">
        <f>SUM(M41:M41)</f>
        <v>0</v>
      </c>
      <c r="N42" s="84">
        <f>SUM(N41:N41)</f>
        <v>0</v>
      </c>
    </row>
    <row r="44" spans="1:14" x14ac:dyDescent="0.25">
      <c r="D44" s="507" t="s">
        <v>160</v>
      </c>
      <c r="E44" s="507"/>
      <c r="F44" s="507"/>
      <c r="G44" s="507"/>
      <c r="H44" s="507"/>
      <c r="I44" s="507"/>
      <c r="J44" s="507"/>
      <c r="K44" s="507"/>
      <c r="L44" s="507"/>
    </row>
    <row r="46" spans="1:14" x14ac:dyDescent="0.25">
      <c r="D46" s="507" t="s">
        <v>161</v>
      </c>
      <c r="E46" s="507"/>
      <c r="F46" s="507"/>
      <c r="G46" s="507"/>
      <c r="H46" s="507"/>
      <c r="I46" s="507"/>
      <c r="J46" s="507"/>
      <c r="K46" s="507"/>
      <c r="L46" s="507"/>
    </row>
    <row r="51" spans="1:14" ht="15.75" x14ac:dyDescent="0.25">
      <c r="A51" s="550" t="s">
        <v>150</v>
      </c>
      <c r="B51" s="550"/>
      <c r="C51" s="550"/>
      <c r="D51" s="550"/>
      <c r="E51" s="550"/>
      <c r="F51" s="550"/>
      <c r="G51" s="550"/>
      <c r="H51" s="550"/>
      <c r="I51" s="550"/>
      <c r="J51" s="550"/>
      <c r="K51" s="550"/>
      <c r="L51" s="550"/>
      <c r="M51" s="550"/>
      <c r="N51" s="550"/>
    </row>
    <row r="52" spans="1:14" ht="15.75" x14ac:dyDescent="0.25">
      <c r="A52" s="550" t="s">
        <v>151</v>
      </c>
      <c r="B52" s="550"/>
      <c r="C52" s="550"/>
      <c r="D52" s="550"/>
      <c r="E52" s="550"/>
      <c r="F52" s="550"/>
      <c r="G52" s="550"/>
      <c r="H52" s="550"/>
      <c r="I52" s="550"/>
      <c r="J52" s="550"/>
      <c r="K52" s="550"/>
      <c r="L52" s="550"/>
      <c r="M52" s="550"/>
      <c r="N52" s="550"/>
    </row>
    <row r="53" spans="1:14" x14ac:dyDescent="0.25">
      <c r="E53" s="551" t="s">
        <v>165</v>
      </c>
      <c r="F53" s="551"/>
      <c r="G53" s="551"/>
      <c r="H53" s="551"/>
      <c r="I53" s="551"/>
      <c r="J53" s="551"/>
    </row>
    <row r="54" spans="1:14" ht="15.75" x14ac:dyDescent="0.25">
      <c r="A54" s="546" t="s">
        <v>153</v>
      </c>
      <c r="B54" s="546" t="s">
        <v>1</v>
      </c>
      <c r="C54" s="546" t="s">
        <v>154</v>
      </c>
      <c r="D54" s="546"/>
      <c r="E54" s="546"/>
      <c r="F54" s="547" t="s">
        <v>155</v>
      </c>
      <c r="G54" s="548"/>
      <c r="H54" s="549"/>
      <c r="I54" s="546" t="s">
        <v>156</v>
      </c>
      <c r="J54" s="546"/>
      <c r="K54" s="546"/>
      <c r="L54" s="546" t="s">
        <v>157</v>
      </c>
      <c r="M54" s="546"/>
      <c r="N54" s="546"/>
    </row>
    <row r="55" spans="1:14" ht="31.5" x14ac:dyDescent="0.25">
      <c r="A55" s="546"/>
      <c r="B55" s="546"/>
      <c r="C55" s="81" t="s">
        <v>79</v>
      </c>
      <c r="D55" s="81" t="s">
        <v>80</v>
      </c>
      <c r="E55" s="81" t="s">
        <v>81</v>
      </c>
      <c r="F55" s="81" t="s">
        <v>79</v>
      </c>
      <c r="G55" s="81" t="s">
        <v>80</v>
      </c>
      <c r="H55" s="81" t="s">
        <v>81</v>
      </c>
      <c r="I55" s="81" t="s">
        <v>79</v>
      </c>
      <c r="J55" s="81" t="s">
        <v>80</v>
      </c>
      <c r="K55" s="81" t="s">
        <v>158</v>
      </c>
      <c r="L55" s="81" t="s">
        <v>79</v>
      </c>
      <c r="M55" s="81" t="s">
        <v>80</v>
      </c>
      <c r="N55" s="81" t="s">
        <v>81</v>
      </c>
    </row>
    <row r="56" spans="1:14" ht="75" x14ac:dyDescent="0.25">
      <c r="A56" s="546"/>
      <c r="B56" s="546"/>
      <c r="C56" s="59" t="s">
        <v>60</v>
      </c>
      <c r="D56" s="59" t="s">
        <v>61</v>
      </c>
      <c r="E56" s="59" t="s">
        <v>62</v>
      </c>
      <c r="F56" s="59" t="s">
        <v>60</v>
      </c>
      <c r="G56" s="59" t="s">
        <v>61</v>
      </c>
      <c r="H56" s="59" t="s">
        <v>62</v>
      </c>
      <c r="I56" s="59" t="s">
        <v>60</v>
      </c>
      <c r="J56" s="59" t="s">
        <v>61</v>
      </c>
      <c r="K56" s="59" t="s">
        <v>62</v>
      </c>
      <c r="L56" s="59" t="s">
        <v>60</v>
      </c>
      <c r="M56" s="59" t="s">
        <v>61</v>
      </c>
      <c r="N56" s="59" t="s">
        <v>62</v>
      </c>
    </row>
    <row r="57" spans="1:14" ht="15.75" x14ac:dyDescent="0.25">
      <c r="A57" s="81">
        <v>1</v>
      </c>
      <c r="B57" s="81">
        <v>2</v>
      </c>
      <c r="C57" s="81">
        <v>3</v>
      </c>
      <c r="D57" s="81">
        <v>4</v>
      </c>
      <c r="E57" s="81">
        <v>5</v>
      </c>
      <c r="F57" s="81">
        <v>6</v>
      </c>
      <c r="G57" s="81">
        <v>7</v>
      </c>
      <c r="H57" s="81">
        <v>8</v>
      </c>
      <c r="I57" s="81">
        <v>9</v>
      </c>
      <c r="J57" s="81">
        <v>10</v>
      </c>
      <c r="K57" s="81">
        <v>11</v>
      </c>
      <c r="L57" s="81">
        <v>12</v>
      </c>
      <c r="M57" s="81">
        <v>13</v>
      </c>
      <c r="N57" s="81">
        <v>14</v>
      </c>
    </row>
    <row r="58" spans="1:14" ht="173.25" x14ac:dyDescent="0.25">
      <c r="A58" s="82" t="s">
        <v>166</v>
      </c>
      <c r="B58" s="81">
        <v>1</v>
      </c>
      <c r="C58" s="83">
        <v>1</v>
      </c>
      <c r="D58" s="83"/>
      <c r="E58" s="83"/>
      <c r="F58" s="82">
        <v>5000</v>
      </c>
      <c r="G58" s="82"/>
      <c r="H58" s="82"/>
      <c r="I58" s="82">
        <v>1</v>
      </c>
      <c r="J58" s="82"/>
      <c r="K58" s="82"/>
      <c r="L58" s="83">
        <f>C58*F58*I58</f>
        <v>5000</v>
      </c>
      <c r="M58" s="83">
        <f>D58*G58*J58</f>
        <v>0</v>
      </c>
      <c r="N58" s="83">
        <f>E58*H58*K58</f>
        <v>0</v>
      </c>
    </row>
    <row r="59" spans="1:14" ht="15.75" x14ac:dyDescent="0.25">
      <c r="A59" s="82" t="s">
        <v>135</v>
      </c>
      <c r="B59" s="81">
        <v>9000</v>
      </c>
      <c r="C59" s="81"/>
      <c r="D59" s="81"/>
      <c r="E59" s="81"/>
      <c r="F59" s="81"/>
      <c r="G59" s="81"/>
      <c r="H59" s="81"/>
      <c r="I59" s="81"/>
      <c r="J59" s="81"/>
      <c r="K59" s="81"/>
      <c r="L59" s="84">
        <f>SUM(L58:L58)</f>
        <v>5000</v>
      </c>
      <c r="M59" s="84">
        <f>SUM(M58:M58)</f>
        <v>0</v>
      </c>
      <c r="N59" s="84">
        <f>SUM(N58:N58)</f>
        <v>0</v>
      </c>
    </row>
    <row r="61" spans="1:14" x14ac:dyDescent="0.25">
      <c r="D61" s="507" t="s">
        <v>160</v>
      </c>
      <c r="E61" s="507"/>
      <c r="F61" s="507"/>
      <c r="G61" s="507"/>
      <c r="H61" s="507"/>
      <c r="I61" s="507"/>
      <c r="J61" s="507"/>
      <c r="K61" s="507"/>
      <c r="L61" s="507"/>
    </row>
    <row r="63" spans="1:14" x14ac:dyDescent="0.25">
      <c r="D63" s="507" t="s">
        <v>161</v>
      </c>
      <c r="E63" s="507"/>
      <c r="F63" s="507"/>
      <c r="G63" s="507"/>
      <c r="H63" s="507"/>
      <c r="I63" s="507"/>
      <c r="J63" s="507"/>
      <c r="K63" s="507"/>
      <c r="L63" s="507"/>
    </row>
    <row r="72" spans="1:6" ht="18.75" x14ac:dyDescent="0.3">
      <c r="A72" s="143" t="s">
        <v>254</v>
      </c>
      <c r="B72" s="143"/>
      <c r="C72" s="143"/>
      <c r="D72" s="544" t="s">
        <v>442</v>
      </c>
      <c r="E72" s="544"/>
      <c r="F72" s="544"/>
    </row>
    <row r="73" spans="1:6" ht="18.75" x14ac:dyDescent="0.3">
      <c r="A73" s="236" t="s">
        <v>272</v>
      </c>
      <c r="B73" s="143"/>
      <c r="C73" s="143"/>
      <c r="D73" s="531" t="s">
        <v>461</v>
      </c>
      <c r="E73" s="531"/>
      <c r="F73" s="531"/>
    </row>
    <row r="74" spans="1:6" ht="18.75" x14ac:dyDescent="0.3">
      <c r="A74" s="141" t="s">
        <v>274</v>
      </c>
      <c r="B74" s="141"/>
      <c r="C74" s="141"/>
      <c r="D74" s="308" t="s">
        <v>275</v>
      </c>
      <c r="E74" s="309"/>
      <c r="F74" s="309"/>
    </row>
    <row r="75" spans="1:6" ht="18.75" x14ac:dyDescent="0.3">
      <c r="B75" s="306"/>
      <c r="C75" s="543" t="s">
        <v>465</v>
      </c>
      <c r="D75" s="543"/>
      <c r="E75" s="543"/>
      <c r="F75" s="306"/>
    </row>
    <row r="76" spans="1:6" ht="45" x14ac:dyDescent="0.25">
      <c r="A76" s="238" t="s">
        <v>261</v>
      </c>
      <c r="B76" s="538" t="s">
        <v>153</v>
      </c>
      <c r="C76" s="545"/>
      <c r="D76" s="238" t="s">
        <v>462</v>
      </c>
      <c r="E76" s="238" t="s">
        <v>463</v>
      </c>
      <c r="F76" s="238" t="s">
        <v>387</v>
      </c>
    </row>
    <row r="77" spans="1:6" x14ac:dyDescent="0.25">
      <c r="A77" s="238">
        <v>1</v>
      </c>
      <c r="B77" s="538">
        <v>2</v>
      </c>
      <c r="C77" s="539"/>
      <c r="D77" s="238">
        <v>4</v>
      </c>
      <c r="E77" s="238">
        <v>5</v>
      </c>
      <c r="F77" s="238">
        <v>6</v>
      </c>
    </row>
    <row r="78" spans="1:6" ht="51" customHeight="1" x14ac:dyDescent="0.25">
      <c r="A78" s="239">
        <v>1</v>
      </c>
      <c r="B78" s="540" t="s">
        <v>464</v>
      </c>
      <c r="C78" s="541"/>
      <c r="D78" s="239">
        <v>1</v>
      </c>
      <c r="E78" s="302">
        <v>5000</v>
      </c>
      <c r="F78" s="302">
        <f>E78*D78</f>
        <v>5000</v>
      </c>
    </row>
    <row r="79" spans="1:6" x14ac:dyDescent="0.25">
      <c r="A79" s="540" t="s">
        <v>284</v>
      </c>
      <c r="B79" s="542"/>
      <c r="C79" s="541"/>
      <c r="D79" s="239"/>
      <c r="E79" s="239"/>
      <c r="F79" s="302">
        <f>F78</f>
        <v>5000</v>
      </c>
    </row>
    <row r="84" spans="1:6" ht="18.75" x14ac:dyDescent="0.3">
      <c r="A84" s="143" t="s">
        <v>254</v>
      </c>
      <c r="B84" s="143"/>
      <c r="C84" s="143"/>
      <c r="D84" s="544" t="s">
        <v>454</v>
      </c>
      <c r="E84" s="544"/>
      <c r="F84" s="544"/>
    </row>
    <row r="85" spans="1:6" ht="18.75" x14ac:dyDescent="0.3">
      <c r="A85" s="236" t="s">
        <v>272</v>
      </c>
      <c r="B85" s="143"/>
      <c r="C85" s="143"/>
      <c r="D85" s="531" t="s">
        <v>461</v>
      </c>
      <c r="E85" s="531"/>
      <c r="F85" s="531"/>
    </row>
    <row r="86" spans="1:6" ht="18.75" x14ac:dyDescent="0.3">
      <c r="A86" s="141" t="s">
        <v>274</v>
      </c>
      <c r="B86" s="141"/>
      <c r="C86" s="141"/>
      <c r="D86" s="308" t="s">
        <v>275</v>
      </c>
      <c r="E86" s="309"/>
      <c r="F86" s="309"/>
    </row>
    <row r="87" spans="1:6" ht="18.75" x14ac:dyDescent="0.3">
      <c r="A87" s="90"/>
      <c r="B87" s="310"/>
      <c r="C87" s="535" t="s">
        <v>471</v>
      </c>
      <c r="D87" s="535"/>
      <c r="E87" s="535"/>
      <c r="F87" s="310"/>
    </row>
    <row r="88" spans="1:6" ht="90" x14ac:dyDescent="0.25">
      <c r="A88" s="238" t="s">
        <v>261</v>
      </c>
      <c r="B88" s="238" t="s">
        <v>153</v>
      </c>
      <c r="C88" s="238" t="s">
        <v>466</v>
      </c>
      <c r="D88" s="238" t="s">
        <v>467</v>
      </c>
      <c r="E88" s="238" t="s">
        <v>156</v>
      </c>
      <c r="F88" s="238" t="s">
        <v>387</v>
      </c>
    </row>
    <row r="89" spans="1:6" x14ac:dyDescent="0.25">
      <c r="A89" s="59">
        <v>1</v>
      </c>
      <c r="B89" s="59">
        <v>2</v>
      </c>
      <c r="C89" s="59">
        <v>3</v>
      </c>
      <c r="D89" s="59">
        <v>4</v>
      </c>
      <c r="E89" s="59">
        <v>5</v>
      </c>
      <c r="F89" s="59">
        <v>6</v>
      </c>
    </row>
    <row r="90" spans="1:6" x14ac:dyDescent="0.25">
      <c r="A90" s="239">
        <v>1</v>
      </c>
      <c r="B90" s="239" t="s">
        <v>468</v>
      </c>
      <c r="C90" s="302">
        <v>450</v>
      </c>
      <c r="D90" s="239">
        <v>1</v>
      </c>
      <c r="E90" s="239">
        <v>9</v>
      </c>
      <c r="F90" s="311">
        <f>E90*D90*C90+50</f>
        <v>4100</v>
      </c>
    </row>
    <row r="91" spans="1:6" ht="120" x14ac:dyDescent="0.25">
      <c r="A91" s="239">
        <v>2</v>
      </c>
      <c r="B91" s="239" t="s">
        <v>470</v>
      </c>
      <c r="C91" s="302">
        <v>135</v>
      </c>
      <c r="D91" s="239">
        <v>1</v>
      </c>
      <c r="E91" s="239">
        <v>7</v>
      </c>
      <c r="F91" s="311">
        <f>E91*D91*C91-45</f>
        <v>900</v>
      </c>
    </row>
    <row r="92" spans="1:6" x14ac:dyDescent="0.25">
      <c r="A92" s="532" t="s">
        <v>284</v>
      </c>
      <c r="B92" s="533"/>
      <c r="C92" s="239"/>
      <c r="D92" s="239"/>
      <c r="E92" s="239"/>
      <c r="F92" s="311">
        <f>SUM(F90:F91)</f>
        <v>5000</v>
      </c>
    </row>
    <row r="100" spans="1:6" ht="26.25" customHeight="1" x14ac:dyDescent="0.25">
      <c r="A100" s="178"/>
      <c r="B100" s="536" t="s">
        <v>472</v>
      </c>
      <c r="C100" s="536"/>
      <c r="D100" s="536"/>
      <c r="E100" s="536"/>
      <c r="F100" s="536"/>
    </row>
    <row r="101" spans="1:6" x14ac:dyDescent="0.25">
      <c r="A101" s="178"/>
      <c r="B101" s="536"/>
      <c r="C101" s="536"/>
      <c r="D101" s="536"/>
      <c r="E101" s="536"/>
      <c r="F101" s="536"/>
    </row>
    <row r="102" spans="1:6" ht="18.75" x14ac:dyDescent="0.3">
      <c r="A102" s="178"/>
      <c r="B102" s="312"/>
      <c r="C102" s="312"/>
      <c r="D102" s="312"/>
      <c r="E102" s="312"/>
      <c r="F102" s="312"/>
    </row>
    <row r="103" spans="1:6" ht="18.75" x14ac:dyDescent="0.3">
      <c r="A103" s="143" t="s">
        <v>254</v>
      </c>
      <c r="B103" s="143"/>
      <c r="C103" s="143"/>
      <c r="D103" s="530" t="s">
        <v>458</v>
      </c>
      <c r="E103" s="530"/>
      <c r="F103" s="235"/>
    </row>
    <row r="104" spans="1:6" ht="18.75" x14ac:dyDescent="0.3">
      <c r="A104" s="236" t="s">
        <v>272</v>
      </c>
      <c r="B104" s="143"/>
      <c r="C104" s="143"/>
      <c r="D104" s="531" t="s">
        <v>461</v>
      </c>
      <c r="E104" s="531"/>
      <c r="F104" s="531"/>
    </row>
    <row r="105" spans="1:6" ht="18.75" x14ac:dyDescent="0.3">
      <c r="A105" s="141" t="s">
        <v>274</v>
      </c>
      <c r="B105" s="141"/>
      <c r="C105" s="141"/>
      <c r="D105" s="308" t="s">
        <v>275</v>
      </c>
      <c r="E105" s="309"/>
      <c r="F105" s="309"/>
    </row>
    <row r="106" spans="1:6" ht="18.75" x14ac:dyDescent="0.3">
      <c r="A106" s="178"/>
      <c r="B106" s="312"/>
      <c r="C106" s="312"/>
      <c r="D106" s="312"/>
      <c r="E106" s="312"/>
      <c r="F106" s="312"/>
    </row>
    <row r="107" spans="1:6" ht="18.75" x14ac:dyDescent="0.3">
      <c r="A107" s="90"/>
      <c r="B107" s="310"/>
      <c r="C107" s="535" t="s">
        <v>465</v>
      </c>
      <c r="D107" s="535"/>
      <c r="E107" s="535"/>
      <c r="F107" s="310"/>
    </row>
    <row r="108" spans="1:6" ht="90" x14ac:dyDescent="0.25">
      <c r="A108" s="238" t="s">
        <v>261</v>
      </c>
      <c r="B108" s="238" t="s">
        <v>153</v>
      </c>
      <c r="C108" s="238" t="s">
        <v>466</v>
      </c>
      <c r="D108" s="238" t="s">
        <v>467</v>
      </c>
      <c r="E108" s="238" t="s">
        <v>156</v>
      </c>
      <c r="F108" s="238" t="s">
        <v>387</v>
      </c>
    </row>
    <row r="109" spans="1:6" x14ac:dyDescent="0.25">
      <c r="A109" s="59">
        <v>1</v>
      </c>
      <c r="B109" s="59">
        <v>2</v>
      </c>
      <c r="C109" s="59">
        <v>3</v>
      </c>
      <c r="D109" s="59">
        <v>4</v>
      </c>
      <c r="E109" s="59">
        <v>5</v>
      </c>
      <c r="F109" s="59">
        <v>6</v>
      </c>
    </row>
    <row r="110" spans="1:6" x14ac:dyDescent="0.25">
      <c r="A110" s="239">
        <v>1</v>
      </c>
      <c r="B110" s="239" t="s">
        <v>468</v>
      </c>
      <c r="C110" s="302">
        <v>450</v>
      </c>
      <c r="D110" s="239">
        <v>4</v>
      </c>
      <c r="E110" s="239">
        <v>7</v>
      </c>
      <c r="F110" s="311">
        <f>E110*D110*C110</f>
        <v>12600</v>
      </c>
    </row>
    <row r="111" spans="1:6" x14ac:dyDescent="0.25">
      <c r="A111" s="239">
        <v>2</v>
      </c>
      <c r="B111" s="239" t="s">
        <v>473</v>
      </c>
      <c r="C111" s="302">
        <v>1830</v>
      </c>
      <c r="D111" s="239">
        <v>4</v>
      </c>
      <c r="E111" s="239">
        <v>5</v>
      </c>
      <c r="F111" s="311">
        <f>E111*D111*C111+800</f>
        <v>37400</v>
      </c>
    </row>
    <row r="112" spans="1:6" x14ac:dyDescent="0.25">
      <c r="A112" s="537" t="s">
        <v>284</v>
      </c>
      <c r="B112" s="537"/>
      <c r="C112" s="239"/>
      <c r="D112" s="239"/>
      <c r="E112" s="239"/>
      <c r="F112" s="311">
        <f>SUM(F110:F111)</f>
        <v>50000</v>
      </c>
    </row>
    <row r="116" spans="1:6" ht="18.75" x14ac:dyDescent="0.3">
      <c r="A116" s="143" t="s">
        <v>254</v>
      </c>
      <c r="B116" s="143"/>
      <c r="C116" s="143"/>
      <c r="D116" s="530" t="s">
        <v>474</v>
      </c>
      <c r="E116" s="530"/>
      <c r="F116" s="235"/>
    </row>
    <row r="117" spans="1:6" ht="18.75" x14ac:dyDescent="0.3">
      <c r="A117" s="236" t="s">
        <v>272</v>
      </c>
      <c r="B117" s="143"/>
      <c r="C117" s="143"/>
      <c r="D117" s="531" t="s">
        <v>461</v>
      </c>
      <c r="E117" s="531"/>
      <c r="F117" s="531"/>
    </row>
    <row r="118" spans="1:6" ht="18.75" x14ac:dyDescent="0.3">
      <c r="A118" s="141" t="s">
        <v>274</v>
      </c>
      <c r="B118" s="141"/>
      <c r="C118" s="141"/>
      <c r="D118" s="308" t="s">
        <v>275</v>
      </c>
      <c r="E118" s="309"/>
      <c r="F118" s="309"/>
    </row>
    <row r="119" spans="1:6" ht="18.75" x14ac:dyDescent="0.3">
      <c r="A119" s="90"/>
      <c r="B119" s="310"/>
      <c r="C119" s="534" t="s">
        <v>465</v>
      </c>
      <c r="D119" s="534"/>
      <c r="E119" s="534"/>
      <c r="F119" s="310"/>
    </row>
    <row r="120" spans="1:6" ht="90" x14ac:dyDescent="0.25">
      <c r="A120" s="238" t="s">
        <v>261</v>
      </c>
      <c r="B120" s="238" t="s">
        <v>153</v>
      </c>
      <c r="C120" s="238" t="s">
        <v>466</v>
      </c>
      <c r="D120" s="238" t="s">
        <v>467</v>
      </c>
      <c r="E120" s="238" t="s">
        <v>156</v>
      </c>
      <c r="F120" s="238" t="s">
        <v>387</v>
      </c>
    </row>
    <row r="121" spans="1:6" x14ac:dyDescent="0.25">
      <c r="A121" s="59">
        <v>1</v>
      </c>
      <c r="B121" s="59">
        <v>2</v>
      </c>
      <c r="C121" s="59">
        <v>3</v>
      </c>
      <c r="D121" s="59">
        <v>4</v>
      </c>
      <c r="E121" s="59">
        <v>5</v>
      </c>
      <c r="F121" s="59">
        <v>6</v>
      </c>
    </row>
    <row r="122" spans="1:6" x14ac:dyDescent="0.25">
      <c r="A122" s="239">
        <v>1</v>
      </c>
      <c r="B122" s="239" t="s">
        <v>468</v>
      </c>
      <c r="C122" s="302">
        <v>450</v>
      </c>
      <c r="D122" s="239">
        <v>4</v>
      </c>
      <c r="E122" s="239">
        <v>7</v>
      </c>
      <c r="F122" s="311">
        <f>E122*D122*C122</f>
        <v>12600</v>
      </c>
    </row>
    <row r="123" spans="1:6" x14ac:dyDescent="0.25">
      <c r="A123" s="239">
        <v>2</v>
      </c>
      <c r="B123" s="239" t="s">
        <v>469</v>
      </c>
      <c r="C123" s="302">
        <v>5050</v>
      </c>
      <c r="D123" s="239">
        <v>4</v>
      </c>
      <c r="E123" s="239"/>
      <c r="F123" s="311">
        <f>D123*C123</f>
        <v>20200</v>
      </c>
    </row>
    <row r="124" spans="1:6" ht="120" x14ac:dyDescent="0.25">
      <c r="A124" s="239">
        <v>3</v>
      </c>
      <c r="B124" s="239" t="s">
        <v>470</v>
      </c>
      <c r="C124" s="302">
        <v>135</v>
      </c>
      <c r="D124" s="239">
        <v>4</v>
      </c>
      <c r="E124" s="239">
        <v>6</v>
      </c>
      <c r="F124" s="311">
        <f>E124*D124*C124-40</f>
        <v>3200</v>
      </c>
    </row>
    <row r="125" spans="1:6" x14ac:dyDescent="0.25">
      <c r="A125" s="532" t="s">
        <v>284</v>
      </c>
      <c r="B125" s="533"/>
      <c r="C125" s="239"/>
      <c r="D125" s="239"/>
      <c r="E125" s="239"/>
      <c r="F125" s="311">
        <f>SUM(F122:F124)</f>
        <v>36000</v>
      </c>
    </row>
  </sheetData>
  <mergeCells count="64">
    <mergeCell ref="A1:N1"/>
    <mergeCell ref="A2:N2"/>
    <mergeCell ref="E3:J3"/>
    <mergeCell ref="A4:A6"/>
    <mergeCell ref="B4:B6"/>
    <mergeCell ref="C4:E4"/>
    <mergeCell ref="F4:H4"/>
    <mergeCell ref="I4:K4"/>
    <mergeCell ref="L4:N4"/>
    <mergeCell ref="D11:L11"/>
    <mergeCell ref="D13:L13"/>
    <mergeCell ref="A18:N18"/>
    <mergeCell ref="A19:N19"/>
    <mergeCell ref="E20:J20"/>
    <mergeCell ref="E36:J36"/>
    <mergeCell ref="A21:A23"/>
    <mergeCell ref="B21:B23"/>
    <mergeCell ref="C21:E21"/>
    <mergeCell ref="F21:H21"/>
    <mergeCell ref="I21:K21"/>
    <mergeCell ref="L21:N21"/>
    <mergeCell ref="D29:L29"/>
    <mergeCell ref="D31:L31"/>
    <mergeCell ref="A34:N34"/>
    <mergeCell ref="A35:N35"/>
    <mergeCell ref="I37:K37"/>
    <mergeCell ref="A54:A56"/>
    <mergeCell ref="B54:B56"/>
    <mergeCell ref="C54:E54"/>
    <mergeCell ref="F54:H54"/>
    <mergeCell ref="I54:K54"/>
    <mergeCell ref="D44:L44"/>
    <mergeCell ref="D46:L46"/>
    <mergeCell ref="A51:N51"/>
    <mergeCell ref="A52:N52"/>
    <mergeCell ref="E53:J53"/>
    <mergeCell ref="L37:N37"/>
    <mergeCell ref="A37:A39"/>
    <mergeCell ref="B37:B39"/>
    <mergeCell ref="C37:E37"/>
    <mergeCell ref="F37:H37"/>
    <mergeCell ref="D85:F85"/>
    <mergeCell ref="L54:N54"/>
    <mergeCell ref="D61:L61"/>
    <mergeCell ref="D63:L63"/>
    <mergeCell ref="D72:F72"/>
    <mergeCell ref="D73:F73"/>
    <mergeCell ref="B77:C77"/>
    <mergeCell ref="B78:C78"/>
    <mergeCell ref="A79:C79"/>
    <mergeCell ref="C75:E75"/>
    <mergeCell ref="D84:F84"/>
    <mergeCell ref="B76:C76"/>
    <mergeCell ref="C87:E87"/>
    <mergeCell ref="B100:F101"/>
    <mergeCell ref="D103:E103"/>
    <mergeCell ref="D104:F104"/>
    <mergeCell ref="A112:B112"/>
    <mergeCell ref="C107:E107"/>
    <mergeCell ref="D116:E116"/>
    <mergeCell ref="D117:F117"/>
    <mergeCell ref="A125:B125"/>
    <mergeCell ref="C119:E119"/>
    <mergeCell ref="A92:B9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workbookViewId="0">
      <selection activeCell="H73" sqref="H73"/>
    </sheetView>
  </sheetViews>
  <sheetFormatPr defaultRowHeight="15" x14ac:dyDescent="0.25"/>
  <cols>
    <col min="1" max="1" width="41" customWidth="1"/>
    <col min="2" max="2" width="20.85546875" customWidth="1"/>
    <col min="3" max="3" width="19.28515625" customWidth="1"/>
    <col min="4" max="4" width="17" customWidth="1"/>
    <col min="5" max="5" width="19.42578125" customWidth="1"/>
  </cols>
  <sheetData>
    <row r="1" spans="1:5" ht="15.75" x14ac:dyDescent="0.25">
      <c r="A1" s="552" t="s">
        <v>167</v>
      </c>
      <c r="B1" s="552"/>
      <c r="C1" s="552"/>
      <c r="D1" s="552"/>
      <c r="E1" s="552"/>
    </row>
    <row r="2" spans="1:5" ht="15.75" x14ac:dyDescent="0.25">
      <c r="A2" s="552" t="s">
        <v>168</v>
      </c>
      <c r="B2" s="552"/>
      <c r="C2" s="552"/>
      <c r="D2" s="552"/>
      <c r="E2" s="552"/>
    </row>
    <row r="3" spans="1:5" ht="15.75" thickBot="1" x14ac:dyDescent="0.3">
      <c r="B3" s="553" t="s">
        <v>169</v>
      </c>
      <c r="C3" s="553"/>
      <c r="D3" s="553"/>
    </row>
    <row r="4" spans="1:5" ht="16.5" thickBot="1" x14ac:dyDescent="0.3">
      <c r="A4" s="554" t="s">
        <v>0</v>
      </c>
      <c r="B4" s="554" t="s">
        <v>1</v>
      </c>
      <c r="C4" s="557" t="s">
        <v>157</v>
      </c>
      <c r="D4" s="558"/>
      <c r="E4" s="559"/>
    </row>
    <row r="5" spans="1:5" ht="16.5" thickBot="1" x14ac:dyDescent="0.3">
      <c r="A5" s="555"/>
      <c r="B5" s="555"/>
      <c r="C5" s="85" t="s">
        <v>79</v>
      </c>
      <c r="D5" s="85" t="s">
        <v>80</v>
      </c>
      <c r="E5" s="85" t="s">
        <v>81</v>
      </c>
    </row>
    <row r="6" spans="1:5" ht="48" thickBot="1" x14ac:dyDescent="0.3">
      <c r="A6" s="556"/>
      <c r="B6" s="556"/>
      <c r="C6" s="85" t="s">
        <v>60</v>
      </c>
      <c r="D6" s="85" t="s">
        <v>61</v>
      </c>
      <c r="E6" s="85" t="s">
        <v>62</v>
      </c>
    </row>
    <row r="7" spans="1:5" ht="16.5" thickBot="1" x14ac:dyDescent="0.3">
      <c r="A7" s="86">
        <v>1</v>
      </c>
      <c r="B7" s="85">
        <v>2</v>
      </c>
      <c r="C7" s="85">
        <v>3</v>
      </c>
      <c r="D7" s="85">
        <v>4</v>
      </c>
      <c r="E7" s="85">
        <v>5</v>
      </c>
    </row>
    <row r="8" spans="1:5" ht="86.25" customHeight="1" thickBot="1" x14ac:dyDescent="0.3">
      <c r="A8" s="87" t="s">
        <v>170</v>
      </c>
      <c r="B8" s="85">
        <v>100</v>
      </c>
      <c r="C8" s="88"/>
      <c r="D8" s="88"/>
      <c r="E8" s="88"/>
    </row>
    <row r="9" spans="1:5" ht="86.25" customHeight="1" thickBot="1" x14ac:dyDescent="0.3">
      <c r="A9" s="87" t="s">
        <v>171</v>
      </c>
      <c r="B9" s="85">
        <v>200</v>
      </c>
      <c r="C9" s="88"/>
      <c r="D9" s="88"/>
      <c r="E9" s="88"/>
    </row>
    <row r="10" spans="1:5" ht="59.25" customHeight="1" thickBot="1" x14ac:dyDescent="0.3">
      <c r="A10" s="87" t="s">
        <v>172</v>
      </c>
      <c r="B10" s="85">
        <v>300</v>
      </c>
      <c r="C10" s="89">
        <f>705784.37+4151.46-81182.8</f>
        <v>628753.02999999991</v>
      </c>
      <c r="D10" s="89"/>
      <c r="E10" s="89"/>
    </row>
    <row r="11" spans="1:5" ht="66" customHeight="1" thickBot="1" x14ac:dyDescent="0.3">
      <c r="A11" s="87" t="s">
        <v>173</v>
      </c>
      <c r="B11" s="85">
        <v>400</v>
      </c>
      <c r="C11" s="89"/>
      <c r="D11" s="89"/>
      <c r="E11" s="89"/>
    </row>
    <row r="12" spans="1:5" ht="89.25" customHeight="1" thickBot="1" x14ac:dyDescent="0.3">
      <c r="A12" s="87" t="s">
        <v>174</v>
      </c>
      <c r="B12" s="85">
        <v>500</v>
      </c>
      <c r="C12" s="89"/>
      <c r="D12" s="89"/>
      <c r="E12" s="89"/>
    </row>
    <row r="13" spans="1:5" ht="69.75" customHeight="1" thickBot="1" x14ac:dyDescent="0.3">
      <c r="A13" s="87" t="s">
        <v>175</v>
      </c>
      <c r="B13" s="85">
        <v>600</v>
      </c>
      <c r="C13" s="89">
        <f>C10</f>
        <v>628753.02999999991</v>
      </c>
      <c r="D13" s="89">
        <f t="shared" ref="D13:E13" si="0">D10</f>
        <v>0</v>
      </c>
      <c r="E13" s="89">
        <f t="shared" si="0"/>
        <v>0</v>
      </c>
    </row>
    <row r="15" spans="1:5" x14ac:dyDescent="0.25">
      <c r="B15" s="507" t="s">
        <v>176</v>
      </c>
      <c r="C15" s="507"/>
      <c r="D15" s="507"/>
      <c r="E15" s="507"/>
    </row>
    <row r="17" spans="1:5" x14ac:dyDescent="0.25">
      <c r="C17" t="s">
        <v>177</v>
      </c>
    </row>
    <row r="21" spans="1:5" ht="15.75" x14ac:dyDescent="0.25">
      <c r="A21" s="552" t="s">
        <v>167</v>
      </c>
      <c r="B21" s="552"/>
      <c r="C21" s="552"/>
      <c r="D21" s="552"/>
      <c r="E21" s="552"/>
    </row>
    <row r="22" spans="1:5" ht="15.75" x14ac:dyDescent="0.25">
      <c r="A22" s="552" t="s">
        <v>168</v>
      </c>
      <c r="B22" s="552"/>
      <c r="C22" s="552"/>
      <c r="D22" s="552"/>
      <c r="E22" s="552"/>
    </row>
    <row r="23" spans="1:5" ht="15.75" thickBot="1" x14ac:dyDescent="0.3">
      <c r="B23" s="553" t="s">
        <v>178</v>
      </c>
      <c r="C23" s="553"/>
      <c r="D23" s="553"/>
    </row>
    <row r="24" spans="1:5" ht="16.5" thickBot="1" x14ac:dyDescent="0.3">
      <c r="A24" s="554" t="s">
        <v>0</v>
      </c>
      <c r="B24" s="554" t="s">
        <v>1</v>
      </c>
      <c r="C24" s="557" t="s">
        <v>157</v>
      </c>
      <c r="D24" s="558"/>
      <c r="E24" s="559"/>
    </row>
    <row r="25" spans="1:5" ht="16.5" thickBot="1" x14ac:dyDescent="0.3">
      <c r="A25" s="555"/>
      <c r="B25" s="555"/>
      <c r="C25" s="85" t="s">
        <v>79</v>
      </c>
      <c r="D25" s="85" t="s">
        <v>80</v>
      </c>
      <c r="E25" s="85" t="s">
        <v>81</v>
      </c>
    </row>
    <row r="26" spans="1:5" ht="48" thickBot="1" x14ac:dyDescent="0.3">
      <c r="A26" s="556"/>
      <c r="B26" s="556"/>
      <c r="C26" s="85" t="s">
        <v>60</v>
      </c>
      <c r="D26" s="85" t="s">
        <v>61</v>
      </c>
      <c r="E26" s="85" t="s">
        <v>62</v>
      </c>
    </row>
    <row r="27" spans="1:5" ht="16.5" thickBot="1" x14ac:dyDescent="0.3">
      <c r="A27" s="86">
        <v>1</v>
      </c>
      <c r="B27" s="85">
        <v>2</v>
      </c>
      <c r="C27" s="85">
        <v>3</v>
      </c>
      <c r="D27" s="85">
        <v>4</v>
      </c>
      <c r="E27" s="85">
        <v>5</v>
      </c>
    </row>
    <row r="28" spans="1:5" ht="63" customHeight="1" thickBot="1" x14ac:dyDescent="0.3">
      <c r="A28" s="87" t="s">
        <v>170</v>
      </c>
      <c r="B28" s="85">
        <v>100</v>
      </c>
      <c r="C28" s="88"/>
      <c r="D28" s="88"/>
      <c r="E28" s="88"/>
    </row>
    <row r="29" spans="1:5" ht="80.25" customHeight="1" thickBot="1" x14ac:dyDescent="0.3">
      <c r="A29" s="87" t="s">
        <v>171</v>
      </c>
      <c r="B29" s="85">
        <v>200</v>
      </c>
      <c r="C29" s="88"/>
      <c r="D29" s="88"/>
      <c r="E29" s="88"/>
    </row>
    <row r="30" spans="1:5" ht="44.25" customHeight="1" thickBot="1" x14ac:dyDescent="0.3">
      <c r="A30" s="87" t="s">
        <v>172</v>
      </c>
      <c r="B30" s="85">
        <v>300</v>
      </c>
      <c r="C30" s="89">
        <v>2829633.07</v>
      </c>
      <c r="D30" s="89"/>
      <c r="E30" s="89"/>
    </row>
    <row r="31" spans="1:5" ht="72" customHeight="1" thickBot="1" x14ac:dyDescent="0.3">
      <c r="A31" s="87" t="s">
        <v>173</v>
      </c>
      <c r="B31" s="85">
        <v>400</v>
      </c>
      <c r="C31" s="89"/>
      <c r="D31" s="89"/>
      <c r="E31" s="89"/>
    </row>
    <row r="32" spans="1:5" ht="96" customHeight="1" thickBot="1" x14ac:dyDescent="0.3">
      <c r="A32" s="87" t="s">
        <v>174</v>
      </c>
      <c r="B32" s="85">
        <v>500</v>
      </c>
      <c r="C32" s="89"/>
      <c r="D32" s="89"/>
      <c r="E32" s="89"/>
    </row>
    <row r="33" spans="1:5" ht="96" customHeight="1" thickBot="1" x14ac:dyDescent="0.3">
      <c r="A33" s="87" t="s">
        <v>175</v>
      </c>
      <c r="B33" s="85">
        <v>600</v>
      </c>
      <c r="C33" s="89">
        <f>C30</f>
        <v>2829633.07</v>
      </c>
      <c r="D33" s="89">
        <f t="shared" ref="D33:E33" si="1">D30</f>
        <v>0</v>
      </c>
      <c r="E33" s="89">
        <f t="shared" si="1"/>
        <v>0</v>
      </c>
    </row>
    <row r="35" spans="1:5" x14ac:dyDescent="0.25">
      <c r="B35" s="507" t="s">
        <v>176</v>
      </c>
      <c r="C35" s="507"/>
      <c r="D35" s="507"/>
      <c r="E35" s="507"/>
    </row>
    <row r="37" spans="1:5" x14ac:dyDescent="0.25">
      <c r="C37" t="s">
        <v>177</v>
      </c>
    </row>
    <row r="41" spans="1:5" ht="15.75" x14ac:dyDescent="0.25">
      <c r="A41" s="552" t="s">
        <v>167</v>
      </c>
      <c r="B41" s="552"/>
      <c r="C41" s="552"/>
      <c r="D41" s="552"/>
      <c r="E41" s="552"/>
    </row>
    <row r="42" spans="1:5" ht="15.75" x14ac:dyDescent="0.25">
      <c r="A42" s="552" t="s">
        <v>168</v>
      </c>
      <c r="B42" s="552"/>
      <c r="C42" s="552"/>
      <c r="D42" s="552"/>
      <c r="E42" s="552"/>
    </row>
    <row r="43" spans="1:5" ht="15.75" thickBot="1" x14ac:dyDescent="0.3">
      <c r="B43" s="553" t="s">
        <v>179</v>
      </c>
      <c r="C43" s="553"/>
      <c r="D43" s="553"/>
    </row>
    <row r="44" spans="1:5" ht="16.5" thickBot="1" x14ac:dyDescent="0.3">
      <c r="A44" s="554" t="s">
        <v>0</v>
      </c>
      <c r="B44" s="554" t="s">
        <v>1</v>
      </c>
      <c r="C44" s="557" t="s">
        <v>157</v>
      </c>
      <c r="D44" s="558"/>
      <c r="E44" s="559"/>
    </row>
    <row r="45" spans="1:5" ht="16.5" thickBot="1" x14ac:dyDescent="0.3">
      <c r="A45" s="555"/>
      <c r="B45" s="555"/>
      <c r="C45" s="85" t="s">
        <v>79</v>
      </c>
      <c r="D45" s="85" t="s">
        <v>80</v>
      </c>
      <c r="E45" s="85" t="s">
        <v>81</v>
      </c>
    </row>
    <row r="46" spans="1:5" ht="48" thickBot="1" x14ac:dyDescent="0.3">
      <c r="A46" s="556"/>
      <c r="B46" s="556"/>
      <c r="C46" s="85" t="s">
        <v>60</v>
      </c>
      <c r="D46" s="85" t="s">
        <v>61</v>
      </c>
      <c r="E46" s="85" t="s">
        <v>62</v>
      </c>
    </row>
    <row r="47" spans="1:5" ht="16.5" thickBot="1" x14ac:dyDescent="0.3">
      <c r="A47" s="86">
        <v>1</v>
      </c>
      <c r="B47" s="85">
        <v>2</v>
      </c>
      <c r="C47" s="85">
        <v>3</v>
      </c>
      <c r="D47" s="85">
        <v>4</v>
      </c>
      <c r="E47" s="85">
        <v>5</v>
      </c>
    </row>
    <row r="48" spans="1:5" ht="78.75" customHeight="1" thickBot="1" x14ac:dyDescent="0.3">
      <c r="A48" s="87" t="s">
        <v>170</v>
      </c>
      <c r="B48" s="85">
        <v>100</v>
      </c>
      <c r="C48" s="88"/>
      <c r="D48" s="88"/>
      <c r="E48" s="88"/>
    </row>
    <row r="49" spans="1:5" ht="78" customHeight="1" thickBot="1" x14ac:dyDescent="0.3">
      <c r="A49" s="87" t="s">
        <v>171</v>
      </c>
      <c r="B49" s="85">
        <v>200</v>
      </c>
      <c r="C49" s="88"/>
      <c r="D49" s="88"/>
      <c r="E49" s="88"/>
    </row>
    <row r="50" spans="1:5" ht="72.75" customHeight="1" thickBot="1" x14ac:dyDescent="0.3">
      <c r="A50" s="87" t="s">
        <v>172</v>
      </c>
      <c r="B50" s="85">
        <v>300</v>
      </c>
      <c r="C50" s="89">
        <v>1901634.9</v>
      </c>
      <c r="D50" s="89"/>
      <c r="E50" s="89"/>
    </row>
    <row r="51" spans="1:5" ht="90" customHeight="1" thickBot="1" x14ac:dyDescent="0.3">
      <c r="A51" s="87" t="s">
        <v>173</v>
      </c>
      <c r="B51" s="85">
        <v>400</v>
      </c>
      <c r="C51" s="89"/>
      <c r="D51" s="89"/>
      <c r="E51" s="89"/>
    </row>
    <row r="52" spans="1:5" ht="93.75" customHeight="1" thickBot="1" x14ac:dyDescent="0.3">
      <c r="A52" s="87" t="s">
        <v>174</v>
      </c>
      <c r="B52" s="85">
        <v>500</v>
      </c>
      <c r="C52" s="89"/>
      <c r="D52" s="89"/>
      <c r="E52" s="89"/>
    </row>
    <row r="53" spans="1:5" ht="109.5" customHeight="1" thickBot="1" x14ac:dyDescent="0.3">
      <c r="A53" s="87" t="s">
        <v>175</v>
      </c>
      <c r="B53" s="85">
        <v>600</v>
      </c>
      <c r="C53" s="89">
        <f>C50</f>
        <v>1901634.9</v>
      </c>
      <c r="D53" s="89">
        <f t="shared" ref="D53:E53" si="2">D50</f>
        <v>0</v>
      </c>
      <c r="E53" s="89">
        <f t="shared" si="2"/>
        <v>0</v>
      </c>
    </row>
    <row r="55" spans="1:5" x14ac:dyDescent="0.25">
      <c r="B55" s="507" t="s">
        <v>176</v>
      </c>
      <c r="C55" s="507"/>
      <c r="D55" s="507"/>
      <c r="E55" s="507"/>
    </row>
    <row r="57" spans="1:5" x14ac:dyDescent="0.25">
      <c r="C57" t="s">
        <v>177</v>
      </c>
    </row>
    <row r="61" spans="1:5" ht="15.75" x14ac:dyDescent="0.25">
      <c r="A61" s="552" t="s">
        <v>167</v>
      </c>
      <c r="B61" s="552"/>
      <c r="C61" s="552"/>
      <c r="D61" s="552"/>
      <c r="E61" s="552"/>
    </row>
    <row r="62" spans="1:5" ht="15.75" x14ac:dyDescent="0.25">
      <c r="A62" s="552" t="s">
        <v>168</v>
      </c>
      <c r="B62" s="552"/>
      <c r="C62" s="552"/>
      <c r="D62" s="552"/>
      <c r="E62" s="552"/>
    </row>
    <row r="63" spans="1:5" ht="15.75" thickBot="1" x14ac:dyDescent="0.3">
      <c r="B63" s="553" t="s">
        <v>475</v>
      </c>
      <c r="C63" s="553"/>
      <c r="D63" s="553"/>
    </row>
    <row r="64" spans="1:5" ht="16.5" thickBot="1" x14ac:dyDescent="0.3">
      <c r="A64" s="554" t="s">
        <v>0</v>
      </c>
      <c r="B64" s="554" t="s">
        <v>1</v>
      </c>
      <c r="C64" s="557" t="s">
        <v>157</v>
      </c>
      <c r="D64" s="558"/>
      <c r="E64" s="559"/>
    </row>
    <row r="65" spans="1:5" ht="16.5" thickBot="1" x14ac:dyDescent="0.3">
      <c r="A65" s="555"/>
      <c r="B65" s="555"/>
      <c r="C65" s="85" t="s">
        <v>79</v>
      </c>
      <c r="D65" s="85" t="s">
        <v>80</v>
      </c>
      <c r="E65" s="85" t="s">
        <v>81</v>
      </c>
    </row>
    <row r="66" spans="1:5" ht="48" thickBot="1" x14ac:dyDescent="0.3">
      <c r="A66" s="556"/>
      <c r="B66" s="556"/>
      <c r="C66" s="85" t="s">
        <v>60</v>
      </c>
      <c r="D66" s="85" t="s">
        <v>61</v>
      </c>
      <c r="E66" s="85" t="s">
        <v>62</v>
      </c>
    </row>
    <row r="67" spans="1:5" ht="16.5" thickBot="1" x14ac:dyDescent="0.3">
      <c r="A67" s="86">
        <v>1</v>
      </c>
      <c r="B67" s="85">
        <v>2</v>
      </c>
      <c r="C67" s="85">
        <v>3</v>
      </c>
      <c r="D67" s="85">
        <v>4</v>
      </c>
      <c r="E67" s="85">
        <v>5</v>
      </c>
    </row>
    <row r="68" spans="1:5" ht="56.25" customHeight="1" thickBot="1" x14ac:dyDescent="0.3">
      <c r="A68" s="87" t="s">
        <v>170</v>
      </c>
      <c r="B68" s="85">
        <v>100</v>
      </c>
      <c r="C68" s="88"/>
      <c r="D68" s="88"/>
      <c r="E68" s="88"/>
    </row>
    <row r="69" spans="1:5" ht="72.75" customHeight="1" thickBot="1" x14ac:dyDescent="0.3">
      <c r="A69" s="87" t="s">
        <v>171</v>
      </c>
      <c r="B69" s="85">
        <v>200</v>
      </c>
      <c r="C69" s="88"/>
      <c r="D69" s="88"/>
      <c r="E69" s="88"/>
    </row>
    <row r="70" spans="1:5" ht="32.25" thickBot="1" x14ac:dyDescent="0.3">
      <c r="A70" s="87" t="s">
        <v>172</v>
      </c>
      <c r="B70" s="85">
        <v>300</v>
      </c>
      <c r="C70" s="89">
        <f>309852-9278.03</f>
        <v>300573.96999999997</v>
      </c>
      <c r="D70" s="89"/>
      <c r="E70" s="89"/>
    </row>
    <row r="71" spans="1:5" ht="67.5" customHeight="1" thickBot="1" x14ac:dyDescent="0.3">
      <c r="A71" s="87" t="s">
        <v>173</v>
      </c>
      <c r="B71" s="85">
        <v>400</v>
      </c>
      <c r="C71" s="89"/>
      <c r="D71" s="89"/>
      <c r="E71" s="89"/>
    </row>
    <row r="72" spans="1:5" ht="78.75" customHeight="1" thickBot="1" x14ac:dyDescent="0.3">
      <c r="A72" s="87" t="s">
        <v>174</v>
      </c>
      <c r="B72" s="85">
        <v>500</v>
      </c>
      <c r="C72" s="89"/>
      <c r="D72" s="89"/>
      <c r="E72" s="89"/>
    </row>
    <row r="73" spans="1:5" ht="63.75" thickBot="1" x14ac:dyDescent="0.3">
      <c r="A73" s="87" t="s">
        <v>175</v>
      </c>
      <c r="B73" s="85">
        <v>600</v>
      </c>
      <c r="C73" s="89">
        <f>C70</f>
        <v>300573.96999999997</v>
      </c>
      <c r="D73" s="89">
        <f t="shared" ref="D73:E73" si="3">D70</f>
        <v>0</v>
      </c>
      <c r="E73" s="89">
        <f t="shared" si="3"/>
        <v>0</v>
      </c>
    </row>
    <row r="75" spans="1:5" x14ac:dyDescent="0.25">
      <c r="B75" s="507" t="s">
        <v>176</v>
      </c>
      <c r="C75" s="507"/>
      <c r="D75" s="507"/>
      <c r="E75" s="507"/>
    </row>
    <row r="77" spans="1:5" x14ac:dyDescent="0.25">
      <c r="C77" t="s">
        <v>177</v>
      </c>
    </row>
    <row r="81" spans="1:5" ht="15.75" x14ac:dyDescent="0.25">
      <c r="A81" s="552" t="s">
        <v>167</v>
      </c>
      <c r="B81" s="552"/>
      <c r="C81" s="552"/>
      <c r="D81" s="552"/>
      <c r="E81" s="552"/>
    </row>
    <row r="82" spans="1:5" ht="15.75" x14ac:dyDescent="0.25">
      <c r="A82" s="552" t="s">
        <v>168</v>
      </c>
      <c r="B82" s="552"/>
      <c r="C82" s="552"/>
      <c r="D82" s="552"/>
      <c r="E82" s="552"/>
    </row>
    <row r="83" spans="1:5" ht="15.75" thickBot="1" x14ac:dyDescent="0.3">
      <c r="B83" s="553" t="s">
        <v>476</v>
      </c>
      <c r="C83" s="553"/>
      <c r="D83" s="553"/>
    </row>
    <row r="84" spans="1:5" ht="16.5" thickBot="1" x14ac:dyDescent="0.3">
      <c r="A84" s="554" t="s">
        <v>0</v>
      </c>
      <c r="B84" s="554" t="s">
        <v>1</v>
      </c>
      <c r="C84" s="557" t="s">
        <v>157</v>
      </c>
      <c r="D84" s="558"/>
      <c r="E84" s="559"/>
    </row>
    <row r="85" spans="1:5" ht="16.5" thickBot="1" x14ac:dyDescent="0.3">
      <c r="A85" s="555"/>
      <c r="B85" s="555"/>
      <c r="C85" s="85" t="s">
        <v>79</v>
      </c>
      <c r="D85" s="85" t="s">
        <v>80</v>
      </c>
      <c r="E85" s="85" t="s">
        <v>81</v>
      </c>
    </row>
    <row r="86" spans="1:5" ht="48" thickBot="1" x14ac:dyDescent="0.3">
      <c r="A86" s="556"/>
      <c r="B86" s="556"/>
      <c r="C86" s="85" t="s">
        <v>60</v>
      </c>
      <c r="D86" s="85" t="s">
        <v>61</v>
      </c>
      <c r="E86" s="85" t="s">
        <v>62</v>
      </c>
    </row>
    <row r="87" spans="1:5" ht="16.5" thickBot="1" x14ac:dyDescent="0.3">
      <c r="A87" s="86">
        <v>1</v>
      </c>
      <c r="B87" s="85">
        <v>2</v>
      </c>
      <c r="C87" s="85">
        <v>3</v>
      </c>
      <c r="D87" s="85">
        <v>4</v>
      </c>
      <c r="E87" s="85">
        <v>5</v>
      </c>
    </row>
    <row r="88" spans="1:5" ht="48" thickBot="1" x14ac:dyDescent="0.3">
      <c r="A88" s="87" t="s">
        <v>170</v>
      </c>
      <c r="B88" s="85">
        <v>100</v>
      </c>
      <c r="C88" s="88"/>
      <c r="D88" s="88"/>
      <c r="E88" s="88"/>
    </row>
    <row r="89" spans="1:5" ht="63.75" thickBot="1" x14ac:dyDescent="0.3">
      <c r="A89" s="87" t="s">
        <v>171</v>
      </c>
      <c r="B89" s="85">
        <v>200</v>
      </c>
      <c r="C89" s="88"/>
      <c r="D89" s="88"/>
      <c r="E89" s="88"/>
    </row>
    <row r="90" spans="1:5" ht="32.25" thickBot="1" x14ac:dyDescent="0.3">
      <c r="A90" s="87" t="s">
        <v>172</v>
      </c>
      <c r="B90" s="85">
        <v>300</v>
      </c>
      <c r="C90" s="89">
        <f>151037.11+3587.68-23195.08</f>
        <v>131429.70999999996</v>
      </c>
      <c r="D90" s="89"/>
      <c r="E90" s="89"/>
    </row>
    <row r="91" spans="1:5" ht="48" thickBot="1" x14ac:dyDescent="0.3">
      <c r="A91" s="87" t="s">
        <v>173</v>
      </c>
      <c r="B91" s="85">
        <v>400</v>
      </c>
      <c r="C91" s="89"/>
      <c r="D91" s="89"/>
      <c r="E91" s="89"/>
    </row>
    <row r="92" spans="1:5" ht="63.75" thickBot="1" x14ac:dyDescent="0.3">
      <c r="A92" s="87" t="s">
        <v>174</v>
      </c>
      <c r="B92" s="85">
        <v>500</v>
      </c>
      <c r="C92" s="89"/>
      <c r="D92" s="89"/>
      <c r="E92" s="89"/>
    </row>
    <row r="93" spans="1:5" ht="63.75" thickBot="1" x14ac:dyDescent="0.3">
      <c r="A93" s="87" t="s">
        <v>175</v>
      </c>
      <c r="B93" s="85">
        <v>600</v>
      </c>
      <c r="C93" s="89">
        <f>C90</f>
        <v>131429.70999999996</v>
      </c>
      <c r="D93" s="89">
        <f t="shared" ref="D93:E93" si="4">D90</f>
        <v>0</v>
      </c>
      <c r="E93" s="89">
        <f t="shared" si="4"/>
        <v>0</v>
      </c>
    </row>
    <row r="95" spans="1:5" x14ac:dyDescent="0.25">
      <c r="B95" s="507" t="s">
        <v>176</v>
      </c>
      <c r="C95" s="507"/>
      <c r="D95" s="507"/>
      <c r="E95" s="507"/>
    </row>
    <row r="97" spans="3:3" x14ac:dyDescent="0.25">
      <c r="C97" t="s">
        <v>177</v>
      </c>
    </row>
  </sheetData>
  <mergeCells count="35">
    <mergeCell ref="A1:E1"/>
    <mergeCell ref="A2:E2"/>
    <mergeCell ref="B3:D3"/>
    <mergeCell ref="A4:A6"/>
    <mergeCell ref="B4:B6"/>
    <mergeCell ref="C4:E4"/>
    <mergeCell ref="B15:E15"/>
    <mergeCell ref="A21:E21"/>
    <mergeCell ref="A22:E22"/>
    <mergeCell ref="B23:D23"/>
    <mergeCell ref="A24:A26"/>
    <mergeCell ref="B24:B26"/>
    <mergeCell ref="C24:E24"/>
    <mergeCell ref="B35:E35"/>
    <mergeCell ref="A41:E41"/>
    <mergeCell ref="A42:E42"/>
    <mergeCell ref="B43:D43"/>
    <mergeCell ref="A44:A46"/>
    <mergeCell ref="B44:B46"/>
    <mergeCell ref="C44:E44"/>
    <mergeCell ref="B55:E55"/>
    <mergeCell ref="A61:E61"/>
    <mergeCell ref="A62:E62"/>
    <mergeCell ref="B63:D63"/>
    <mergeCell ref="A64:A66"/>
    <mergeCell ref="B64:B66"/>
    <mergeCell ref="C64:E64"/>
    <mergeCell ref="B95:E95"/>
    <mergeCell ref="B75:E75"/>
    <mergeCell ref="A81:E81"/>
    <mergeCell ref="A82:E82"/>
    <mergeCell ref="B83:D83"/>
    <mergeCell ref="A84:A86"/>
    <mergeCell ref="B84:B86"/>
    <mergeCell ref="C84:E8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"/>
  <sheetViews>
    <sheetView topLeftCell="A43" workbookViewId="0">
      <selection activeCell="I16" sqref="I16"/>
    </sheetView>
  </sheetViews>
  <sheetFormatPr defaultRowHeight="15" x14ac:dyDescent="0.25"/>
  <cols>
    <col min="1" max="1" width="20.140625" customWidth="1"/>
    <col min="9" max="9" width="14" customWidth="1"/>
    <col min="12" max="12" width="18.85546875" customWidth="1"/>
  </cols>
  <sheetData>
    <row r="2" spans="1:14" ht="15.75" x14ac:dyDescent="0.25">
      <c r="A2" s="552" t="s">
        <v>180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</row>
    <row r="3" spans="1:14" x14ac:dyDescent="0.25">
      <c r="E3" t="s">
        <v>181</v>
      </c>
      <c r="F3" s="90"/>
      <c r="G3" s="551" t="s">
        <v>182</v>
      </c>
      <c r="H3" s="551"/>
      <c r="I3" s="551"/>
    </row>
    <row r="4" spans="1:14" ht="15.75" x14ac:dyDescent="0.25">
      <c r="A4" s="546" t="s">
        <v>153</v>
      </c>
      <c r="B4" s="546" t="s">
        <v>1</v>
      </c>
      <c r="C4" s="546" t="s">
        <v>183</v>
      </c>
      <c r="D4" s="546"/>
      <c r="E4" s="546"/>
      <c r="F4" s="546" t="s">
        <v>184</v>
      </c>
      <c r="G4" s="546"/>
      <c r="H4" s="546"/>
      <c r="I4" s="546" t="s">
        <v>185</v>
      </c>
      <c r="J4" s="546"/>
      <c r="K4" s="546"/>
      <c r="L4" s="546" t="s">
        <v>157</v>
      </c>
      <c r="M4" s="546"/>
      <c r="N4" s="546"/>
    </row>
    <row r="5" spans="1:14" ht="31.5" x14ac:dyDescent="0.25">
      <c r="A5" s="546"/>
      <c r="B5" s="546"/>
      <c r="C5" s="81" t="s">
        <v>79</v>
      </c>
      <c r="D5" s="81" t="s">
        <v>80</v>
      </c>
      <c r="E5" s="81" t="s">
        <v>81</v>
      </c>
      <c r="F5" s="81" t="s">
        <v>79</v>
      </c>
      <c r="G5" s="81" t="s">
        <v>80</v>
      </c>
      <c r="H5" s="81" t="s">
        <v>81</v>
      </c>
      <c r="I5" s="81" t="s">
        <v>79</v>
      </c>
      <c r="J5" s="81" t="s">
        <v>80</v>
      </c>
      <c r="K5" s="81" t="s">
        <v>81</v>
      </c>
      <c r="L5" s="81" t="s">
        <v>79</v>
      </c>
      <c r="M5" s="81" t="s">
        <v>80</v>
      </c>
      <c r="N5" s="81" t="s">
        <v>81</v>
      </c>
    </row>
    <row r="6" spans="1:14" ht="94.5" x14ac:dyDescent="0.25">
      <c r="A6" s="546"/>
      <c r="B6" s="546"/>
      <c r="C6" s="59" t="s">
        <v>60</v>
      </c>
      <c r="D6" s="59" t="s">
        <v>61</v>
      </c>
      <c r="E6" s="59" t="s">
        <v>62</v>
      </c>
      <c r="F6" s="59" t="s">
        <v>60</v>
      </c>
      <c r="G6" s="59" t="s">
        <v>61</v>
      </c>
      <c r="H6" s="59" t="s">
        <v>62</v>
      </c>
      <c r="I6" s="59" t="s">
        <v>60</v>
      </c>
      <c r="J6" s="59" t="s">
        <v>61</v>
      </c>
      <c r="K6" s="59" t="s">
        <v>62</v>
      </c>
      <c r="L6" s="59" t="s">
        <v>60</v>
      </c>
      <c r="M6" s="59" t="s">
        <v>61</v>
      </c>
      <c r="N6" s="81" t="s">
        <v>62</v>
      </c>
    </row>
    <row r="7" spans="1:14" ht="15.75" x14ac:dyDescent="0.25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</row>
    <row r="8" spans="1:14" ht="75.75" customHeight="1" x14ac:dyDescent="0.25">
      <c r="A8" s="91" t="s">
        <v>186</v>
      </c>
      <c r="B8" s="81"/>
      <c r="C8" s="81">
        <v>1</v>
      </c>
      <c r="D8" s="81"/>
      <c r="E8" s="81"/>
      <c r="F8" s="81">
        <v>12</v>
      </c>
      <c r="G8" s="81"/>
      <c r="H8" s="81"/>
      <c r="I8" s="92">
        <v>6405.98</v>
      </c>
      <c r="J8" s="92"/>
      <c r="K8" s="92"/>
      <c r="L8" s="92">
        <v>76871.710000000006</v>
      </c>
      <c r="M8" s="92"/>
      <c r="N8" s="92"/>
    </row>
    <row r="9" spans="1:14" ht="49.5" customHeight="1" x14ac:dyDescent="0.25">
      <c r="A9" s="91" t="s">
        <v>187</v>
      </c>
      <c r="B9" s="81"/>
      <c r="C9" s="81"/>
      <c r="D9" s="81"/>
      <c r="E9" s="81"/>
      <c r="F9" s="81">
        <v>20</v>
      </c>
      <c r="G9" s="81"/>
      <c r="H9" s="81"/>
      <c r="I9" s="92">
        <v>50</v>
      </c>
      <c r="J9" s="92"/>
      <c r="K9" s="92"/>
      <c r="L9" s="92">
        <f>F9*I9</f>
        <v>1000</v>
      </c>
      <c r="M9" s="92"/>
      <c r="N9" s="92"/>
    </row>
    <row r="10" spans="1:14" ht="15.75" x14ac:dyDescent="0.25">
      <c r="A10" s="82" t="s">
        <v>135</v>
      </c>
      <c r="B10" s="81">
        <v>9000</v>
      </c>
      <c r="C10" s="81" t="s">
        <v>11</v>
      </c>
      <c r="D10" s="81" t="s">
        <v>11</v>
      </c>
      <c r="E10" s="81" t="s">
        <v>11</v>
      </c>
      <c r="F10" s="81" t="s">
        <v>11</v>
      </c>
      <c r="G10" s="81" t="s">
        <v>11</v>
      </c>
      <c r="H10" s="81" t="s">
        <v>11</v>
      </c>
      <c r="I10" s="81" t="s">
        <v>11</v>
      </c>
      <c r="J10" s="81" t="s">
        <v>11</v>
      </c>
      <c r="K10" s="81" t="s">
        <v>11</v>
      </c>
      <c r="L10" s="84">
        <f>L8+L9</f>
        <v>77871.710000000006</v>
      </c>
      <c r="M10" s="84"/>
      <c r="N10" s="84"/>
    </row>
    <row r="12" spans="1:14" x14ac:dyDescent="0.25">
      <c r="D12" s="507" t="s">
        <v>188</v>
      </c>
      <c r="E12" s="507"/>
      <c r="F12" s="507"/>
      <c r="G12" s="507"/>
      <c r="H12" s="507"/>
      <c r="I12" s="507"/>
      <c r="J12" s="507"/>
    </row>
    <row r="14" spans="1:14" x14ac:dyDescent="0.25">
      <c r="D14" s="507" t="s">
        <v>189</v>
      </c>
      <c r="E14" s="507"/>
      <c r="F14" s="507"/>
      <c r="G14" s="507"/>
      <c r="H14" s="507"/>
      <c r="I14" s="507"/>
      <c r="J14" s="507"/>
    </row>
    <row r="18" spans="1:14" ht="15.75" x14ac:dyDescent="0.25">
      <c r="A18" s="552" t="s">
        <v>180</v>
      </c>
      <c r="B18" s="561"/>
      <c r="C18" s="561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1"/>
    </row>
    <row r="19" spans="1:14" x14ac:dyDescent="0.25">
      <c r="E19" t="s">
        <v>181</v>
      </c>
      <c r="F19" s="90"/>
      <c r="G19" s="551" t="s">
        <v>190</v>
      </c>
      <c r="H19" s="551"/>
      <c r="I19" s="551"/>
    </row>
    <row r="20" spans="1:14" ht="15.75" x14ac:dyDescent="0.25">
      <c r="A20" s="546" t="s">
        <v>153</v>
      </c>
      <c r="B20" s="546" t="s">
        <v>1</v>
      </c>
      <c r="C20" s="546" t="s">
        <v>183</v>
      </c>
      <c r="D20" s="546"/>
      <c r="E20" s="546"/>
      <c r="F20" s="546" t="s">
        <v>184</v>
      </c>
      <c r="G20" s="546"/>
      <c r="H20" s="546"/>
      <c r="I20" s="546" t="s">
        <v>185</v>
      </c>
      <c r="J20" s="546"/>
      <c r="K20" s="546"/>
      <c r="L20" s="546" t="s">
        <v>157</v>
      </c>
      <c r="M20" s="546"/>
      <c r="N20" s="546"/>
    </row>
    <row r="21" spans="1:14" ht="31.5" x14ac:dyDescent="0.25">
      <c r="A21" s="546"/>
      <c r="B21" s="546"/>
      <c r="C21" s="81" t="s">
        <v>79</v>
      </c>
      <c r="D21" s="81" t="s">
        <v>80</v>
      </c>
      <c r="E21" s="81" t="s">
        <v>81</v>
      </c>
      <c r="F21" s="81" t="s">
        <v>79</v>
      </c>
      <c r="G21" s="81" t="s">
        <v>80</v>
      </c>
      <c r="H21" s="81" t="s">
        <v>81</v>
      </c>
      <c r="I21" s="81" t="s">
        <v>79</v>
      </c>
      <c r="J21" s="81" t="s">
        <v>80</v>
      </c>
      <c r="K21" s="81" t="s">
        <v>81</v>
      </c>
      <c r="L21" s="81" t="s">
        <v>79</v>
      </c>
      <c r="M21" s="81" t="s">
        <v>80</v>
      </c>
      <c r="N21" s="81" t="s">
        <v>81</v>
      </c>
    </row>
    <row r="22" spans="1:14" ht="94.5" x14ac:dyDescent="0.25">
      <c r="A22" s="546"/>
      <c r="B22" s="546"/>
      <c r="C22" s="59" t="s">
        <v>60</v>
      </c>
      <c r="D22" s="59" t="s">
        <v>61</v>
      </c>
      <c r="E22" s="59" t="s">
        <v>62</v>
      </c>
      <c r="F22" s="59" t="s">
        <v>60</v>
      </c>
      <c r="G22" s="59" t="s">
        <v>61</v>
      </c>
      <c r="H22" s="59" t="s">
        <v>62</v>
      </c>
      <c r="I22" s="59" t="s">
        <v>60</v>
      </c>
      <c r="J22" s="59" t="s">
        <v>61</v>
      </c>
      <c r="K22" s="59" t="s">
        <v>62</v>
      </c>
      <c r="L22" s="59" t="s">
        <v>60</v>
      </c>
      <c r="M22" s="59" t="s">
        <v>61</v>
      </c>
      <c r="N22" s="81" t="s">
        <v>62</v>
      </c>
    </row>
    <row r="23" spans="1:14" ht="15.75" x14ac:dyDescent="0.25">
      <c r="A23" s="81">
        <v>1</v>
      </c>
      <c r="B23" s="81">
        <v>2</v>
      </c>
      <c r="C23" s="81">
        <v>3</v>
      </c>
      <c r="D23" s="81">
        <v>4</v>
      </c>
      <c r="E23" s="81">
        <v>5</v>
      </c>
      <c r="F23" s="81">
        <v>6</v>
      </c>
      <c r="G23" s="81">
        <v>7</v>
      </c>
      <c r="H23" s="81">
        <v>8</v>
      </c>
      <c r="I23" s="81">
        <v>9</v>
      </c>
      <c r="J23" s="81">
        <v>10</v>
      </c>
      <c r="K23" s="81">
        <v>11</v>
      </c>
      <c r="L23" s="81">
        <v>12</v>
      </c>
      <c r="M23" s="81">
        <v>13</v>
      </c>
      <c r="N23" s="81">
        <v>14</v>
      </c>
    </row>
    <row r="24" spans="1:14" ht="63" customHeight="1" x14ac:dyDescent="0.25">
      <c r="A24" s="91" t="s">
        <v>186</v>
      </c>
      <c r="B24" s="81"/>
      <c r="C24" s="81">
        <v>1</v>
      </c>
      <c r="D24" s="81"/>
      <c r="E24" s="81"/>
      <c r="F24" s="81">
        <v>12</v>
      </c>
      <c r="G24" s="81"/>
      <c r="H24" s="81"/>
      <c r="I24" s="92">
        <v>5000</v>
      </c>
      <c r="J24" s="92"/>
      <c r="K24" s="92"/>
      <c r="L24" s="92">
        <v>60000</v>
      </c>
      <c r="M24" s="92"/>
      <c r="N24" s="92"/>
    </row>
    <row r="25" spans="1:14" ht="31.5" x14ac:dyDescent="0.25">
      <c r="A25" s="91" t="s">
        <v>191</v>
      </c>
      <c r="B25" s="81"/>
      <c r="C25" s="81">
        <v>1</v>
      </c>
      <c r="D25" s="81"/>
      <c r="E25" s="81"/>
      <c r="F25" s="81">
        <v>12</v>
      </c>
      <c r="G25" s="81"/>
      <c r="H25" s="81"/>
      <c r="I25" s="92">
        <v>1666.67</v>
      </c>
      <c r="J25" s="92"/>
      <c r="K25" s="92"/>
      <c r="L25" s="92">
        <f>F25*I25-0.04</f>
        <v>20000</v>
      </c>
      <c r="M25" s="92"/>
      <c r="N25" s="92"/>
    </row>
    <row r="26" spans="1:14" ht="15.75" x14ac:dyDescent="0.25">
      <c r="A26" s="82" t="s">
        <v>135</v>
      </c>
      <c r="B26" s="81">
        <v>9000</v>
      </c>
      <c r="C26" s="81" t="s">
        <v>11</v>
      </c>
      <c r="D26" s="81" t="s">
        <v>11</v>
      </c>
      <c r="E26" s="81" t="s">
        <v>11</v>
      </c>
      <c r="F26" s="81" t="s">
        <v>11</v>
      </c>
      <c r="G26" s="81" t="s">
        <v>11</v>
      </c>
      <c r="H26" s="81" t="s">
        <v>11</v>
      </c>
      <c r="I26" s="81" t="s">
        <v>11</v>
      </c>
      <c r="J26" s="81" t="s">
        <v>11</v>
      </c>
      <c r="K26" s="81" t="s">
        <v>11</v>
      </c>
      <c r="L26" s="84">
        <f>L24+L25</f>
        <v>80000</v>
      </c>
      <c r="M26" s="84"/>
      <c r="N26" s="84"/>
    </row>
    <row r="28" spans="1:14" x14ac:dyDescent="0.25">
      <c r="D28" s="507" t="s">
        <v>188</v>
      </c>
      <c r="E28" s="507"/>
      <c r="F28" s="507"/>
      <c r="G28" s="507"/>
      <c r="H28" s="507"/>
      <c r="I28" s="507"/>
      <c r="J28" s="507"/>
    </row>
    <row r="30" spans="1:14" x14ac:dyDescent="0.25">
      <c r="D30" s="507" t="s">
        <v>189</v>
      </c>
      <c r="E30" s="507"/>
      <c r="F30" s="507"/>
      <c r="G30" s="507"/>
      <c r="H30" s="507"/>
      <c r="I30" s="507"/>
      <c r="J30" s="507"/>
    </row>
    <row r="34" spans="1:14" ht="15.75" x14ac:dyDescent="0.25">
      <c r="A34" s="552" t="s">
        <v>180</v>
      </c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</row>
    <row r="35" spans="1:14" x14ac:dyDescent="0.25">
      <c r="E35" t="s">
        <v>181</v>
      </c>
      <c r="F35" s="90"/>
      <c r="G35" s="551" t="s">
        <v>192</v>
      </c>
      <c r="H35" s="551"/>
      <c r="I35" s="551"/>
    </row>
    <row r="36" spans="1:14" ht="15.75" x14ac:dyDescent="0.25">
      <c r="A36" s="546" t="s">
        <v>153</v>
      </c>
      <c r="B36" s="546" t="s">
        <v>1</v>
      </c>
      <c r="C36" s="546" t="s">
        <v>183</v>
      </c>
      <c r="D36" s="546"/>
      <c r="E36" s="546"/>
      <c r="F36" s="546" t="s">
        <v>184</v>
      </c>
      <c r="G36" s="546"/>
      <c r="H36" s="546"/>
      <c r="I36" s="546" t="s">
        <v>185</v>
      </c>
      <c r="J36" s="546"/>
      <c r="K36" s="546"/>
      <c r="L36" s="546" t="s">
        <v>157</v>
      </c>
      <c r="M36" s="546"/>
      <c r="N36" s="546"/>
    </row>
    <row r="37" spans="1:14" ht="31.5" x14ac:dyDescent="0.25">
      <c r="A37" s="546"/>
      <c r="B37" s="546"/>
      <c r="C37" s="81" t="s">
        <v>79</v>
      </c>
      <c r="D37" s="81" t="s">
        <v>80</v>
      </c>
      <c r="E37" s="81" t="s">
        <v>81</v>
      </c>
      <c r="F37" s="81" t="s">
        <v>79</v>
      </c>
      <c r="G37" s="81" t="s">
        <v>80</v>
      </c>
      <c r="H37" s="81" t="s">
        <v>81</v>
      </c>
      <c r="I37" s="81" t="s">
        <v>79</v>
      </c>
      <c r="J37" s="81" t="s">
        <v>80</v>
      </c>
      <c r="K37" s="81" t="s">
        <v>81</v>
      </c>
      <c r="L37" s="81" t="s">
        <v>79</v>
      </c>
      <c r="M37" s="81" t="s">
        <v>80</v>
      </c>
      <c r="N37" s="81" t="s">
        <v>81</v>
      </c>
    </row>
    <row r="38" spans="1:14" ht="94.5" x14ac:dyDescent="0.25">
      <c r="A38" s="546"/>
      <c r="B38" s="546"/>
      <c r="C38" s="59" t="s">
        <v>60</v>
      </c>
      <c r="D38" s="59" t="s">
        <v>61</v>
      </c>
      <c r="E38" s="59" t="s">
        <v>62</v>
      </c>
      <c r="F38" s="59" t="s">
        <v>60</v>
      </c>
      <c r="G38" s="59" t="s">
        <v>61</v>
      </c>
      <c r="H38" s="59" t="s">
        <v>62</v>
      </c>
      <c r="I38" s="59" t="s">
        <v>60</v>
      </c>
      <c r="J38" s="59" t="s">
        <v>61</v>
      </c>
      <c r="K38" s="59" t="s">
        <v>62</v>
      </c>
      <c r="L38" s="59" t="s">
        <v>60</v>
      </c>
      <c r="M38" s="59" t="s">
        <v>61</v>
      </c>
      <c r="N38" s="81" t="s">
        <v>62</v>
      </c>
    </row>
    <row r="39" spans="1:14" ht="15.75" x14ac:dyDescent="0.25">
      <c r="A39" s="81">
        <v>1</v>
      </c>
      <c r="B39" s="81">
        <v>2</v>
      </c>
      <c r="C39" s="81">
        <v>3</v>
      </c>
      <c r="D39" s="81">
        <v>4</v>
      </c>
      <c r="E39" s="81">
        <v>5</v>
      </c>
      <c r="F39" s="81">
        <v>6</v>
      </c>
      <c r="G39" s="81">
        <v>7</v>
      </c>
      <c r="H39" s="81">
        <v>8</v>
      </c>
      <c r="I39" s="81">
        <v>9</v>
      </c>
      <c r="J39" s="81">
        <v>10</v>
      </c>
      <c r="K39" s="81">
        <v>11</v>
      </c>
      <c r="L39" s="81">
        <v>12</v>
      </c>
      <c r="M39" s="81">
        <v>13</v>
      </c>
      <c r="N39" s="81">
        <v>14</v>
      </c>
    </row>
    <row r="40" spans="1:14" ht="15.75" x14ac:dyDescent="0.25">
      <c r="A40" s="91" t="s">
        <v>193</v>
      </c>
      <c r="B40" s="81"/>
      <c r="C40" s="81">
        <v>1</v>
      </c>
      <c r="D40" s="81"/>
      <c r="E40" s="81"/>
      <c r="F40" s="81">
        <v>12</v>
      </c>
      <c r="G40" s="81"/>
      <c r="H40" s="81"/>
      <c r="I40" s="92">
        <v>12083.33</v>
      </c>
      <c r="J40" s="92"/>
      <c r="K40" s="92"/>
      <c r="L40" s="92">
        <v>145000</v>
      </c>
      <c r="M40" s="92"/>
      <c r="N40" s="92"/>
    </row>
    <row r="41" spans="1:14" ht="15.75" x14ac:dyDescent="0.25">
      <c r="A41" s="82" t="s">
        <v>135</v>
      </c>
      <c r="B41" s="81">
        <v>9000</v>
      </c>
      <c r="C41" s="81" t="s">
        <v>11</v>
      </c>
      <c r="D41" s="81" t="s">
        <v>11</v>
      </c>
      <c r="E41" s="81" t="s">
        <v>11</v>
      </c>
      <c r="F41" s="81" t="s">
        <v>11</v>
      </c>
      <c r="G41" s="81" t="s">
        <v>11</v>
      </c>
      <c r="H41" s="81" t="s">
        <v>11</v>
      </c>
      <c r="I41" s="81" t="s">
        <v>11</v>
      </c>
      <c r="J41" s="81" t="s">
        <v>11</v>
      </c>
      <c r="K41" s="81" t="s">
        <v>11</v>
      </c>
      <c r="L41" s="84">
        <f>L40</f>
        <v>145000</v>
      </c>
      <c r="M41" s="84"/>
      <c r="N41" s="84"/>
    </row>
    <row r="43" spans="1:14" x14ac:dyDescent="0.25">
      <c r="D43" s="507" t="s">
        <v>188</v>
      </c>
      <c r="E43" s="507"/>
      <c r="F43" s="507"/>
      <c r="G43" s="507"/>
      <c r="H43" s="507"/>
      <c r="I43" s="507"/>
      <c r="J43" s="507"/>
    </row>
    <row r="45" spans="1:14" x14ac:dyDescent="0.25">
      <c r="D45" s="507" t="s">
        <v>189</v>
      </c>
      <c r="E45" s="507"/>
      <c r="F45" s="507"/>
      <c r="G45" s="507"/>
      <c r="H45" s="507"/>
      <c r="I45" s="507"/>
      <c r="J45" s="507"/>
    </row>
    <row r="48" spans="1:14" ht="15.75" x14ac:dyDescent="0.25">
      <c r="A48" s="552" t="s">
        <v>180</v>
      </c>
      <c r="B48" s="561"/>
      <c r="C48" s="561"/>
      <c r="D48" s="561"/>
      <c r="E48" s="561"/>
      <c r="F48" s="561"/>
      <c r="G48" s="561"/>
      <c r="H48" s="561"/>
      <c r="I48" s="561"/>
      <c r="J48" s="561"/>
      <c r="K48" s="561"/>
      <c r="L48" s="561"/>
      <c r="M48" s="561"/>
      <c r="N48" s="561"/>
    </row>
    <row r="49" spans="1:14" x14ac:dyDescent="0.25">
      <c r="E49" t="s">
        <v>181</v>
      </c>
      <c r="F49" s="90"/>
      <c r="G49" s="551" t="s">
        <v>443</v>
      </c>
      <c r="H49" s="551"/>
      <c r="I49" s="551"/>
    </row>
    <row r="50" spans="1:14" ht="15.75" x14ac:dyDescent="0.25">
      <c r="A50" s="546" t="s">
        <v>153</v>
      </c>
      <c r="B50" s="546" t="s">
        <v>1</v>
      </c>
      <c r="C50" s="546" t="s">
        <v>183</v>
      </c>
      <c r="D50" s="546"/>
      <c r="E50" s="546"/>
      <c r="F50" s="546" t="s">
        <v>184</v>
      </c>
      <c r="G50" s="546"/>
      <c r="H50" s="546"/>
      <c r="I50" s="546" t="s">
        <v>185</v>
      </c>
      <c r="J50" s="546"/>
      <c r="K50" s="546"/>
      <c r="L50" s="546" t="s">
        <v>157</v>
      </c>
      <c r="M50" s="546"/>
      <c r="N50" s="546"/>
    </row>
    <row r="51" spans="1:14" ht="31.5" x14ac:dyDescent="0.25">
      <c r="A51" s="546"/>
      <c r="B51" s="546"/>
      <c r="C51" s="81" t="s">
        <v>79</v>
      </c>
      <c r="D51" s="81" t="s">
        <v>80</v>
      </c>
      <c r="E51" s="81" t="s">
        <v>81</v>
      </c>
      <c r="F51" s="81" t="s">
        <v>79</v>
      </c>
      <c r="G51" s="81" t="s">
        <v>80</v>
      </c>
      <c r="H51" s="81" t="s">
        <v>81</v>
      </c>
      <c r="I51" s="81" t="s">
        <v>79</v>
      </c>
      <c r="J51" s="81" t="s">
        <v>80</v>
      </c>
      <c r="K51" s="81" t="s">
        <v>81</v>
      </c>
      <c r="L51" s="81" t="s">
        <v>79</v>
      </c>
      <c r="M51" s="81" t="s">
        <v>80</v>
      </c>
      <c r="N51" s="81" t="s">
        <v>81</v>
      </c>
    </row>
    <row r="52" spans="1:14" ht="94.5" x14ac:dyDescent="0.25">
      <c r="A52" s="546"/>
      <c r="B52" s="546"/>
      <c r="C52" s="59" t="s">
        <v>60</v>
      </c>
      <c r="D52" s="59" t="s">
        <v>61</v>
      </c>
      <c r="E52" s="59" t="s">
        <v>62</v>
      </c>
      <c r="F52" s="59" t="s">
        <v>60</v>
      </c>
      <c r="G52" s="59" t="s">
        <v>61</v>
      </c>
      <c r="H52" s="59" t="s">
        <v>62</v>
      </c>
      <c r="I52" s="59" t="s">
        <v>60</v>
      </c>
      <c r="J52" s="59" t="s">
        <v>61</v>
      </c>
      <c r="K52" s="59" t="s">
        <v>62</v>
      </c>
      <c r="L52" s="59" t="s">
        <v>60</v>
      </c>
      <c r="M52" s="59" t="s">
        <v>61</v>
      </c>
      <c r="N52" s="81" t="s">
        <v>62</v>
      </c>
    </row>
    <row r="53" spans="1:14" ht="15.75" x14ac:dyDescent="0.25">
      <c r="A53" s="81">
        <v>1</v>
      </c>
      <c r="B53" s="81">
        <v>2</v>
      </c>
      <c r="C53" s="81">
        <v>3</v>
      </c>
      <c r="D53" s="81">
        <v>4</v>
      </c>
      <c r="E53" s="81">
        <v>5</v>
      </c>
      <c r="F53" s="81">
        <v>6</v>
      </c>
      <c r="G53" s="81">
        <v>7</v>
      </c>
      <c r="H53" s="81">
        <v>8</v>
      </c>
      <c r="I53" s="81">
        <v>9</v>
      </c>
      <c r="J53" s="81">
        <v>10</v>
      </c>
      <c r="K53" s="81">
        <v>11</v>
      </c>
      <c r="L53" s="81">
        <v>12</v>
      </c>
      <c r="M53" s="81">
        <v>13</v>
      </c>
      <c r="N53" s="81">
        <v>14</v>
      </c>
    </row>
    <row r="54" spans="1:14" ht="47.25" x14ac:dyDescent="0.25">
      <c r="A54" s="91" t="s">
        <v>186</v>
      </c>
      <c r="B54" s="81"/>
      <c r="C54" s="81">
        <v>1</v>
      </c>
      <c r="D54" s="81"/>
      <c r="E54" s="81"/>
      <c r="F54" s="81">
        <v>12</v>
      </c>
      <c r="G54" s="81"/>
      <c r="H54" s="81"/>
      <c r="I54" s="92">
        <v>3333.33</v>
      </c>
      <c r="J54" s="92"/>
      <c r="K54" s="92"/>
      <c r="L54" s="92">
        <v>40000</v>
      </c>
      <c r="M54" s="92"/>
      <c r="N54" s="92"/>
    </row>
    <row r="55" spans="1:14" ht="15.75" x14ac:dyDescent="0.25">
      <c r="A55" s="82" t="s">
        <v>135</v>
      </c>
      <c r="B55" s="81">
        <v>9000</v>
      </c>
      <c r="C55" s="81" t="s">
        <v>11</v>
      </c>
      <c r="D55" s="81" t="s">
        <v>11</v>
      </c>
      <c r="E55" s="81" t="s">
        <v>11</v>
      </c>
      <c r="F55" s="81" t="s">
        <v>11</v>
      </c>
      <c r="G55" s="81" t="s">
        <v>11</v>
      </c>
      <c r="H55" s="81" t="s">
        <v>11</v>
      </c>
      <c r="I55" s="81" t="s">
        <v>11</v>
      </c>
      <c r="J55" s="81" t="s">
        <v>11</v>
      </c>
      <c r="K55" s="81" t="s">
        <v>11</v>
      </c>
      <c r="L55" s="84">
        <f>L54</f>
        <v>40000</v>
      </c>
      <c r="M55" s="84"/>
      <c r="N55" s="84"/>
    </row>
    <row r="57" spans="1:14" x14ac:dyDescent="0.25">
      <c r="D57" s="507" t="s">
        <v>188</v>
      </c>
      <c r="E57" s="507"/>
      <c r="F57" s="507"/>
      <c r="G57" s="507"/>
      <c r="H57" s="507"/>
      <c r="I57" s="507"/>
      <c r="J57" s="507"/>
    </row>
    <row r="59" spans="1:14" x14ac:dyDescent="0.25">
      <c r="D59" s="507" t="s">
        <v>189</v>
      </c>
      <c r="E59" s="507"/>
      <c r="F59" s="507"/>
      <c r="G59" s="507"/>
      <c r="H59" s="507"/>
      <c r="I59" s="507"/>
      <c r="J59" s="507"/>
    </row>
    <row r="60" spans="1:14" x14ac:dyDescent="0.25">
      <c r="A60" s="562"/>
      <c r="B60" s="562"/>
      <c r="C60" s="562"/>
      <c r="D60" s="562"/>
      <c r="E60" s="562"/>
      <c r="F60" s="562"/>
      <c r="G60" s="104"/>
      <c r="H60" s="104"/>
    </row>
    <row r="61" spans="1:14" x14ac:dyDescent="0.25">
      <c r="A61" s="562"/>
      <c r="B61" s="562"/>
      <c r="C61" s="562"/>
      <c r="D61" s="562"/>
      <c r="E61" s="562"/>
      <c r="F61" s="562"/>
      <c r="G61" s="104"/>
      <c r="H61" s="104"/>
    </row>
    <row r="62" spans="1:14" x14ac:dyDescent="0.25">
      <c r="A62" s="177"/>
      <c r="B62" s="177"/>
      <c r="C62" s="177"/>
      <c r="D62" s="177"/>
      <c r="E62" s="177"/>
      <c r="F62" s="177"/>
      <c r="G62" s="104"/>
      <c r="H62" s="104"/>
    </row>
    <row r="63" spans="1:14" x14ac:dyDescent="0.25">
      <c r="A63" s="177"/>
      <c r="B63" s="240"/>
      <c r="C63" s="240"/>
      <c r="D63" s="240"/>
      <c r="E63" s="303"/>
      <c r="F63" s="303"/>
      <c r="G63" s="104"/>
      <c r="H63" s="104"/>
    </row>
    <row r="64" spans="1:14" x14ac:dyDescent="0.25">
      <c r="A64" s="560"/>
      <c r="B64" s="560"/>
      <c r="C64" s="240"/>
      <c r="D64" s="240"/>
      <c r="E64" s="303"/>
      <c r="F64" s="303"/>
      <c r="G64" s="104"/>
      <c r="H64" s="104"/>
    </row>
  </sheetData>
  <mergeCells count="47">
    <mergeCell ref="A2:N2"/>
    <mergeCell ref="G3:I3"/>
    <mergeCell ref="A4:A6"/>
    <mergeCell ref="B4:B6"/>
    <mergeCell ref="C4:E4"/>
    <mergeCell ref="F4:H4"/>
    <mergeCell ref="I4:K4"/>
    <mergeCell ref="L4:N4"/>
    <mergeCell ref="D12:J12"/>
    <mergeCell ref="D14:J14"/>
    <mergeCell ref="A18:N18"/>
    <mergeCell ref="G19:I19"/>
    <mergeCell ref="A20:A22"/>
    <mergeCell ref="B20:B22"/>
    <mergeCell ref="C20:E20"/>
    <mergeCell ref="F20:H20"/>
    <mergeCell ref="I20:K20"/>
    <mergeCell ref="L20:N20"/>
    <mergeCell ref="D59:J59"/>
    <mergeCell ref="D43:J43"/>
    <mergeCell ref="D45:J45"/>
    <mergeCell ref="D28:J28"/>
    <mergeCell ref="D30:J30"/>
    <mergeCell ref="A34:N34"/>
    <mergeCell ref="G35:I35"/>
    <mergeCell ref="A36:A38"/>
    <mergeCell ref="B36:B38"/>
    <mergeCell ref="C36:E36"/>
    <mergeCell ref="F36:H36"/>
    <mergeCell ref="I36:K36"/>
    <mergeCell ref="L36:N36"/>
    <mergeCell ref="A64:B64"/>
    <mergeCell ref="A48:N48"/>
    <mergeCell ref="G49:I49"/>
    <mergeCell ref="A50:A52"/>
    <mergeCell ref="B50:B52"/>
    <mergeCell ref="C50:E50"/>
    <mergeCell ref="F50:H50"/>
    <mergeCell ref="I50:K50"/>
    <mergeCell ref="L50:N50"/>
    <mergeCell ref="D57:J57"/>
    <mergeCell ref="A60:A61"/>
    <mergeCell ref="B60:B61"/>
    <mergeCell ref="C60:C61"/>
    <mergeCell ref="D60:D61"/>
    <mergeCell ref="E60:E61"/>
    <mergeCell ref="F60:F6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31" workbookViewId="0">
      <selection activeCell="Q25" sqref="Q25"/>
    </sheetView>
  </sheetViews>
  <sheetFormatPr defaultRowHeight="15" x14ac:dyDescent="0.25"/>
  <cols>
    <col min="1" max="1" width="22.140625" customWidth="1"/>
    <col min="6" max="6" width="17" customWidth="1"/>
    <col min="9" max="9" width="17" customWidth="1"/>
  </cols>
  <sheetData>
    <row r="1" spans="1:11" ht="15.75" x14ac:dyDescent="0.25">
      <c r="A1" s="552" t="s">
        <v>194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</row>
    <row r="2" spans="1:11" x14ac:dyDescent="0.25">
      <c r="E2" s="524" t="s">
        <v>195</v>
      </c>
      <c r="F2" s="524"/>
      <c r="G2" s="524"/>
      <c r="H2" s="524"/>
    </row>
    <row r="3" spans="1:11" ht="15.75" x14ac:dyDescent="0.25">
      <c r="A3" s="546" t="s">
        <v>153</v>
      </c>
      <c r="B3" s="546" t="s">
        <v>1</v>
      </c>
      <c r="C3" s="546" t="s">
        <v>196</v>
      </c>
      <c r="D3" s="546"/>
      <c r="E3" s="546"/>
      <c r="F3" s="546" t="s">
        <v>197</v>
      </c>
      <c r="G3" s="546"/>
      <c r="H3" s="546"/>
      <c r="I3" s="546" t="s">
        <v>157</v>
      </c>
      <c r="J3" s="546"/>
      <c r="K3" s="546"/>
    </row>
    <row r="4" spans="1:11" ht="31.5" x14ac:dyDescent="0.25">
      <c r="A4" s="546"/>
      <c r="B4" s="546"/>
      <c r="C4" s="81" t="s">
        <v>79</v>
      </c>
      <c r="D4" s="81" t="s">
        <v>80</v>
      </c>
      <c r="E4" s="81" t="s">
        <v>81</v>
      </c>
      <c r="F4" s="81" t="s">
        <v>79</v>
      </c>
      <c r="G4" s="81" t="s">
        <v>80</v>
      </c>
      <c r="H4" s="81" t="s">
        <v>81</v>
      </c>
      <c r="I4" s="81" t="s">
        <v>79</v>
      </c>
      <c r="J4" s="81" t="s">
        <v>80</v>
      </c>
      <c r="K4" s="81" t="s">
        <v>81</v>
      </c>
    </row>
    <row r="5" spans="1:11" ht="94.5" x14ac:dyDescent="0.25">
      <c r="A5" s="546"/>
      <c r="B5" s="546"/>
      <c r="C5" s="81" t="s">
        <v>60</v>
      </c>
      <c r="D5" s="81" t="s">
        <v>61</v>
      </c>
      <c r="E5" s="81" t="s">
        <v>62</v>
      </c>
      <c r="F5" s="81" t="s">
        <v>60</v>
      </c>
      <c r="G5" s="81" t="s">
        <v>61</v>
      </c>
      <c r="H5" s="81" t="s">
        <v>62</v>
      </c>
      <c r="I5" s="81" t="s">
        <v>60</v>
      </c>
      <c r="J5" s="81" t="s">
        <v>61</v>
      </c>
      <c r="K5" s="81" t="s">
        <v>62</v>
      </c>
    </row>
    <row r="6" spans="1:11" ht="15.75" x14ac:dyDescent="0.25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  <c r="K6" s="81">
        <v>11</v>
      </c>
    </row>
    <row r="7" spans="1:11" ht="108.75" customHeight="1" x14ac:dyDescent="0.25">
      <c r="A7" s="82" t="s">
        <v>198</v>
      </c>
      <c r="B7" s="81"/>
      <c r="C7" s="82">
        <v>2</v>
      </c>
      <c r="D7" s="82"/>
      <c r="E7" s="82"/>
      <c r="F7" s="83">
        <v>25000</v>
      </c>
      <c r="G7" s="83"/>
      <c r="H7" s="83"/>
      <c r="I7" s="83">
        <f>C7*F7</f>
        <v>50000</v>
      </c>
      <c r="J7" s="83">
        <f t="shared" ref="J7:K7" si="0">D7*G7</f>
        <v>0</v>
      </c>
      <c r="K7" s="83">
        <f t="shared" si="0"/>
        <v>0</v>
      </c>
    </row>
    <row r="8" spans="1:11" ht="15.75" x14ac:dyDescent="0.25">
      <c r="A8" s="82"/>
      <c r="B8" s="81">
        <v>9000</v>
      </c>
      <c r="C8" s="81" t="s">
        <v>11</v>
      </c>
      <c r="D8" s="81" t="s">
        <v>11</v>
      </c>
      <c r="E8" s="81" t="s">
        <v>11</v>
      </c>
      <c r="F8" s="92" t="s">
        <v>11</v>
      </c>
      <c r="G8" s="92" t="s">
        <v>11</v>
      </c>
      <c r="H8" s="92" t="s">
        <v>11</v>
      </c>
      <c r="I8" s="83">
        <f>SUM(I7:I7)</f>
        <v>50000</v>
      </c>
      <c r="J8" s="83">
        <f>SUM(J7:J7)</f>
        <v>0</v>
      </c>
      <c r="K8" s="83">
        <f>SUM(K7:K7)</f>
        <v>0</v>
      </c>
    </row>
    <row r="10" spans="1:11" x14ac:dyDescent="0.25">
      <c r="D10" s="507" t="s">
        <v>199</v>
      </c>
      <c r="E10" s="507"/>
      <c r="F10" s="507"/>
      <c r="G10" s="507"/>
      <c r="H10" s="507"/>
      <c r="I10" s="507"/>
    </row>
    <row r="12" spans="1:11" x14ac:dyDescent="0.25">
      <c r="F12" s="507" t="s">
        <v>200</v>
      </c>
      <c r="G12" s="507"/>
      <c r="H12" s="507"/>
    </row>
    <row r="16" spans="1:11" ht="15.75" x14ac:dyDescent="0.25">
      <c r="A16" s="552" t="s">
        <v>194</v>
      </c>
      <c r="B16" s="561"/>
      <c r="C16" s="561"/>
      <c r="D16" s="561"/>
      <c r="E16" s="561"/>
      <c r="F16" s="561"/>
      <c r="G16" s="561"/>
      <c r="H16" s="561"/>
      <c r="I16" s="561"/>
      <c r="J16" s="561"/>
      <c r="K16" s="561"/>
    </row>
    <row r="17" spans="1:11" x14ac:dyDescent="0.25">
      <c r="E17" s="524" t="s">
        <v>201</v>
      </c>
      <c r="F17" s="524"/>
      <c r="G17" s="524"/>
      <c r="H17" s="524"/>
    </row>
    <row r="18" spans="1:11" ht="15.75" x14ac:dyDescent="0.25">
      <c r="A18" s="546" t="s">
        <v>153</v>
      </c>
      <c r="B18" s="546" t="s">
        <v>1</v>
      </c>
      <c r="C18" s="546" t="s">
        <v>196</v>
      </c>
      <c r="D18" s="546"/>
      <c r="E18" s="546"/>
      <c r="F18" s="546" t="s">
        <v>197</v>
      </c>
      <c r="G18" s="546"/>
      <c r="H18" s="546"/>
      <c r="I18" s="546" t="s">
        <v>157</v>
      </c>
      <c r="J18" s="546"/>
      <c r="K18" s="546"/>
    </row>
    <row r="19" spans="1:11" ht="31.5" x14ac:dyDescent="0.25">
      <c r="A19" s="546"/>
      <c r="B19" s="546"/>
      <c r="C19" s="81" t="s">
        <v>79</v>
      </c>
      <c r="D19" s="81" t="s">
        <v>80</v>
      </c>
      <c r="E19" s="81" t="s">
        <v>81</v>
      </c>
      <c r="F19" s="81" t="s">
        <v>79</v>
      </c>
      <c r="G19" s="81" t="s">
        <v>80</v>
      </c>
      <c r="H19" s="81" t="s">
        <v>81</v>
      </c>
      <c r="I19" s="81" t="s">
        <v>79</v>
      </c>
      <c r="J19" s="81" t="s">
        <v>80</v>
      </c>
      <c r="K19" s="81" t="s">
        <v>81</v>
      </c>
    </row>
    <row r="20" spans="1:11" ht="94.5" x14ac:dyDescent="0.25">
      <c r="A20" s="546"/>
      <c r="B20" s="546"/>
      <c r="C20" s="81" t="s">
        <v>60</v>
      </c>
      <c r="D20" s="81" t="s">
        <v>61</v>
      </c>
      <c r="E20" s="81" t="s">
        <v>62</v>
      </c>
      <c r="F20" s="81" t="s">
        <v>60</v>
      </c>
      <c r="G20" s="81" t="s">
        <v>61</v>
      </c>
      <c r="H20" s="81" t="s">
        <v>62</v>
      </c>
      <c r="I20" s="81" t="s">
        <v>60</v>
      </c>
      <c r="J20" s="81" t="s">
        <v>61</v>
      </c>
      <c r="K20" s="81" t="s">
        <v>62</v>
      </c>
    </row>
    <row r="21" spans="1:11" ht="15.75" x14ac:dyDescent="0.25">
      <c r="A21" s="81">
        <v>1</v>
      </c>
      <c r="B21" s="81">
        <v>2</v>
      </c>
      <c r="C21" s="81">
        <v>3</v>
      </c>
      <c r="D21" s="81">
        <v>4</v>
      </c>
      <c r="E21" s="81">
        <v>5</v>
      </c>
      <c r="F21" s="81">
        <v>6</v>
      </c>
      <c r="G21" s="81">
        <v>7</v>
      </c>
      <c r="H21" s="81">
        <v>8</v>
      </c>
      <c r="I21" s="81">
        <v>9</v>
      </c>
      <c r="J21" s="81">
        <v>10</v>
      </c>
      <c r="K21" s="81">
        <v>11</v>
      </c>
    </row>
    <row r="22" spans="1:11" ht="81" customHeight="1" x14ac:dyDescent="0.25">
      <c r="A22" s="82" t="s">
        <v>202</v>
      </c>
      <c r="B22" s="81"/>
      <c r="C22" s="82">
        <v>2</v>
      </c>
      <c r="D22" s="82"/>
      <c r="E22" s="82"/>
      <c r="F22" s="83">
        <v>22500</v>
      </c>
      <c r="G22" s="83"/>
      <c r="H22" s="83"/>
      <c r="I22" s="83">
        <f>C22*F22</f>
        <v>45000</v>
      </c>
      <c r="J22" s="83">
        <f t="shared" ref="J22:K22" si="1">D22*G22</f>
        <v>0</v>
      </c>
      <c r="K22" s="83">
        <f t="shared" si="1"/>
        <v>0</v>
      </c>
    </row>
    <row r="23" spans="1:11" ht="15.75" x14ac:dyDescent="0.25">
      <c r="A23" s="82"/>
      <c r="B23" s="81">
        <v>9000</v>
      </c>
      <c r="C23" s="81" t="s">
        <v>11</v>
      </c>
      <c r="D23" s="81" t="s">
        <v>11</v>
      </c>
      <c r="E23" s="81" t="s">
        <v>11</v>
      </c>
      <c r="F23" s="92" t="s">
        <v>11</v>
      </c>
      <c r="G23" s="92" t="s">
        <v>11</v>
      </c>
      <c r="H23" s="92" t="s">
        <v>11</v>
      </c>
      <c r="I23" s="83">
        <f>SUM(I22:I22)</f>
        <v>45000</v>
      </c>
      <c r="J23" s="83">
        <f>SUM(J22:J22)</f>
        <v>0</v>
      </c>
      <c r="K23" s="83">
        <f>SUM(K22:K22)</f>
        <v>0</v>
      </c>
    </row>
    <row r="25" spans="1:11" x14ac:dyDescent="0.25">
      <c r="D25" s="507" t="s">
        <v>199</v>
      </c>
      <c r="E25" s="507"/>
      <c r="F25" s="507"/>
      <c r="G25" s="507"/>
      <c r="H25" s="507"/>
      <c r="I25" s="507"/>
    </row>
    <row r="27" spans="1:11" x14ac:dyDescent="0.25">
      <c r="F27" s="80" t="s">
        <v>597</v>
      </c>
      <c r="G27" s="80"/>
      <c r="H27" s="80"/>
    </row>
    <row r="29" spans="1:11" ht="15.75" x14ac:dyDescent="0.25">
      <c r="A29" s="552" t="s">
        <v>194</v>
      </c>
      <c r="B29" s="561"/>
      <c r="C29" s="561"/>
      <c r="D29" s="561"/>
      <c r="E29" s="561"/>
      <c r="F29" s="561"/>
      <c r="G29" s="561"/>
      <c r="H29" s="561"/>
      <c r="I29" s="561"/>
      <c r="J29" s="561"/>
      <c r="K29" s="561"/>
    </row>
    <row r="30" spans="1:11" x14ac:dyDescent="0.25">
      <c r="E30" s="524" t="s">
        <v>203</v>
      </c>
      <c r="F30" s="524"/>
      <c r="G30" s="524"/>
      <c r="H30" s="524"/>
    </row>
    <row r="31" spans="1:11" ht="15.75" x14ac:dyDescent="0.25">
      <c r="A31" s="546" t="s">
        <v>153</v>
      </c>
      <c r="B31" s="546" t="s">
        <v>1</v>
      </c>
      <c r="C31" s="546" t="s">
        <v>196</v>
      </c>
      <c r="D31" s="546"/>
      <c r="E31" s="546"/>
      <c r="F31" s="546" t="s">
        <v>197</v>
      </c>
      <c r="G31" s="546"/>
      <c r="H31" s="546"/>
      <c r="I31" s="546" t="s">
        <v>157</v>
      </c>
      <c r="J31" s="546"/>
      <c r="K31" s="546"/>
    </row>
    <row r="32" spans="1:11" ht="31.5" x14ac:dyDescent="0.25">
      <c r="A32" s="546"/>
      <c r="B32" s="546"/>
      <c r="C32" s="81" t="s">
        <v>79</v>
      </c>
      <c r="D32" s="81" t="s">
        <v>80</v>
      </c>
      <c r="E32" s="81" t="s">
        <v>81</v>
      </c>
      <c r="F32" s="81" t="s">
        <v>79</v>
      </c>
      <c r="G32" s="81" t="s">
        <v>80</v>
      </c>
      <c r="H32" s="81" t="s">
        <v>81</v>
      </c>
      <c r="I32" s="81" t="s">
        <v>79</v>
      </c>
      <c r="J32" s="81" t="s">
        <v>80</v>
      </c>
      <c r="K32" s="81" t="s">
        <v>81</v>
      </c>
    </row>
    <row r="33" spans="1:11" ht="94.5" x14ac:dyDescent="0.25">
      <c r="A33" s="546"/>
      <c r="B33" s="546"/>
      <c r="C33" s="81" t="s">
        <v>60</v>
      </c>
      <c r="D33" s="81" t="s">
        <v>61</v>
      </c>
      <c r="E33" s="81" t="s">
        <v>62</v>
      </c>
      <c r="F33" s="81" t="s">
        <v>60</v>
      </c>
      <c r="G33" s="81" t="s">
        <v>61</v>
      </c>
      <c r="H33" s="81" t="s">
        <v>62</v>
      </c>
      <c r="I33" s="81" t="s">
        <v>60</v>
      </c>
      <c r="J33" s="81" t="s">
        <v>61</v>
      </c>
      <c r="K33" s="81" t="s">
        <v>62</v>
      </c>
    </row>
    <row r="34" spans="1:11" ht="15.75" x14ac:dyDescent="0.25">
      <c r="A34" s="81">
        <v>1</v>
      </c>
      <c r="B34" s="81">
        <v>2</v>
      </c>
      <c r="C34" s="81">
        <v>3</v>
      </c>
      <c r="D34" s="81">
        <v>4</v>
      </c>
      <c r="E34" s="81">
        <v>5</v>
      </c>
      <c r="F34" s="81">
        <v>6</v>
      </c>
      <c r="G34" s="81">
        <v>7</v>
      </c>
      <c r="H34" s="81">
        <v>8</v>
      </c>
      <c r="I34" s="81">
        <v>9</v>
      </c>
      <c r="J34" s="81">
        <v>10</v>
      </c>
      <c r="K34" s="81">
        <v>11</v>
      </c>
    </row>
    <row r="35" spans="1:11" ht="116.25" customHeight="1" x14ac:dyDescent="0.25">
      <c r="A35" s="82" t="s">
        <v>198</v>
      </c>
      <c r="B35" s="81"/>
      <c r="C35" s="82">
        <v>1</v>
      </c>
      <c r="D35" s="82"/>
      <c r="E35" s="82"/>
      <c r="F35" s="83">
        <v>9000</v>
      </c>
      <c r="G35" s="83"/>
      <c r="H35" s="83"/>
      <c r="I35" s="83">
        <f>C35*F35</f>
        <v>9000</v>
      </c>
      <c r="J35" s="83">
        <f t="shared" ref="J35:K35" si="2">D35*G35</f>
        <v>0</v>
      </c>
      <c r="K35" s="83">
        <f t="shared" si="2"/>
        <v>0</v>
      </c>
    </row>
    <row r="36" spans="1:11" ht="15.75" x14ac:dyDescent="0.25">
      <c r="A36" s="82"/>
      <c r="B36" s="81">
        <v>9000</v>
      </c>
      <c r="C36" s="81" t="s">
        <v>11</v>
      </c>
      <c r="D36" s="81" t="s">
        <v>11</v>
      </c>
      <c r="E36" s="81" t="s">
        <v>11</v>
      </c>
      <c r="F36" s="92" t="s">
        <v>11</v>
      </c>
      <c r="G36" s="92" t="s">
        <v>11</v>
      </c>
      <c r="H36" s="92" t="s">
        <v>11</v>
      </c>
      <c r="I36" s="83">
        <f>SUM(I35:I35)</f>
        <v>9000</v>
      </c>
      <c r="J36" s="83">
        <f>SUM(J35:J35)</f>
        <v>0</v>
      </c>
      <c r="K36" s="83">
        <f>SUM(K35:K35)</f>
        <v>0</v>
      </c>
    </row>
    <row r="38" spans="1:11" x14ac:dyDescent="0.25">
      <c r="D38" s="507" t="s">
        <v>199</v>
      </c>
      <c r="E38" s="507"/>
      <c r="F38" s="507"/>
      <c r="G38" s="507"/>
      <c r="H38" s="507"/>
      <c r="I38" s="507"/>
    </row>
    <row r="40" spans="1:11" x14ac:dyDescent="0.25">
      <c r="F40" s="80" t="s">
        <v>200</v>
      </c>
      <c r="G40" s="80"/>
      <c r="H40" s="80"/>
    </row>
  </sheetData>
  <mergeCells count="25">
    <mergeCell ref="A1:K1"/>
    <mergeCell ref="E2:H2"/>
    <mergeCell ref="A3:A5"/>
    <mergeCell ref="B3:B5"/>
    <mergeCell ref="C3:E3"/>
    <mergeCell ref="F3:H3"/>
    <mergeCell ref="I3:K3"/>
    <mergeCell ref="D10:I10"/>
    <mergeCell ref="F12:H12"/>
    <mergeCell ref="A16:K16"/>
    <mergeCell ref="E17:H17"/>
    <mergeCell ref="A18:A20"/>
    <mergeCell ref="B18:B20"/>
    <mergeCell ref="C18:E18"/>
    <mergeCell ref="F18:H18"/>
    <mergeCell ref="I18:K18"/>
    <mergeCell ref="D38:I38"/>
    <mergeCell ref="D25:I25"/>
    <mergeCell ref="A29:K29"/>
    <mergeCell ref="E30:H30"/>
    <mergeCell ref="A31:A33"/>
    <mergeCell ref="B31:B33"/>
    <mergeCell ref="C31:E31"/>
    <mergeCell ref="F31:H31"/>
    <mergeCell ref="I31:K3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F22" sqref="F22"/>
    </sheetView>
  </sheetViews>
  <sheetFormatPr defaultRowHeight="15" x14ac:dyDescent="0.25"/>
  <cols>
    <col min="1" max="1" width="18.140625" customWidth="1"/>
    <col min="3" max="3" width="15.5703125" customWidth="1"/>
    <col min="6" max="6" width="19.28515625" customWidth="1"/>
    <col min="9" max="9" width="19.140625" customWidth="1"/>
    <col min="10" max="10" width="14" customWidth="1"/>
    <col min="11" max="11" width="18.85546875" customWidth="1"/>
  </cols>
  <sheetData>
    <row r="1" spans="1:11" ht="15.75" x14ac:dyDescent="0.25">
      <c r="A1" s="561" t="s">
        <v>204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</row>
    <row r="2" spans="1:11" x14ac:dyDescent="0.25">
      <c r="E2" s="551" t="s">
        <v>205</v>
      </c>
      <c r="F2" s="551"/>
      <c r="G2" s="551"/>
      <c r="H2" s="551"/>
    </row>
    <row r="3" spans="1:11" ht="15.75" x14ac:dyDescent="0.25">
      <c r="A3" s="546" t="s">
        <v>153</v>
      </c>
      <c r="B3" s="546" t="s">
        <v>1</v>
      </c>
      <c r="C3" s="546" t="s">
        <v>206</v>
      </c>
      <c r="D3" s="546"/>
      <c r="E3" s="546"/>
      <c r="F3" s="546" t="s">
        <v>207</v>
      </c>
      <c r="G3" s="546"/>
      <c r="H3" s="546"/>
      <c r="I3" s="546" t="s">
        <v>157</v>
      </c>
      <c r="J3" s="546"/>
      <c r="K3" s="546"/>
    </row>
    <row r="4" spans="1:11" ht="31.5" x14ac:dyDescent="0.25">
      <c r="A4" s="546"/>
      <c r="B4" s="546"/>
      <c r="C4" s="81" t="s">
        <v>79</v>
      </c>
      <c r="D4" s="81" t="s">
        <v>80</v>
      </c>
      <c r="E4" s="81" t="s">
        <v>81</v>
      </c>
      <c r="F4" s="81" t="s">
        <v>79</v>
      </c>
      <c r="G4" s="81" t="s">
        <v>80</v>
      </c>
      <c r="H4" s="81" t="s">
        <v>81</v>
      </c>
      <c r="I4" s="81" t="s">
        <v>79</v>
      </c>
      <c r="J4" s="81" t="s">
        <v>80</v>
      </c>
      <c r="K4" s="81" t="s">
        <v>81</v>
      </c>
    </row>
    <row r="5" spans="1:11" ht="94.5" x14ac:dyDescent="0.25">
      <c r="A5" s="546"/>
      <c r="B5" s="546"/>
      <c r="C5" s="81" t="s">
        <v>60</v>
      </c>
      <c r="D5" s="81" t="s">
        <v>61</v>
      </c>
      <c r="E5" s="81" t="s">
        <v>62</v>
      </c>
      <c r="F5" s="81" t="s">
        <v>60</v>
      </c>
      <c r="G5" s="81" t="s">
        <v>61</v>
      </c>
      <c r="H5" s="81" t="s">
        <v>62</v>
      </c>
      <c r="I5" s="81" t="s">
        <v>60</v>
      </c>
      <c r="J5" s="81" t="s">
        <v>61</v>
      </c>
      <c r="K5" s="81" t="s">
        <v>62</v>
      </c>
    </row>
    <row r="6" spans="1:11" ht="15.75" x14ac:dyDescent="0.25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  <c r="K6" s="81">
        <v>11</v>
      </c>
    </row>
    <row r="7" spans="1:11" ht="15.75" x14ac:dyDescent="0.25">
      <c r="A7" s="82" t="s">
        <v>208</v>
      </c>
      <c r="B7" s="93"/>
      <c r="C7" s="82">
        <v>866.19</v>
      </c>
      <c r="D7" s="82"/>
      <c r="E7" s="82"/>
      <c r="F7" s="83">
        <v>3299.09</v>
      </c>
      <c r="G7" s="83"/>
      <c r="H7" s="83"/>
      <c r="I7" s="83">
        <f>F7*C7</f>
        <v>2857638.7671000003</v>
      </c>
      <c r="J7" s="83">
        <f t="shared" ref="J7:K7" si="0">G7*D7</f>
        <v>0</v>
      </c>
      <c r="K7" s="83">
        <f t="shared" si="0"/>
        <v>0</v>
      </c>
    </row>
    <row r="8" spans="1:11" ht="15.75" x14ac:dyDescent="0.25">
      <c r="A8" s="82" t="s">
        <v>209</v>
      </c>
      <c r="B8" s="93"/>
      <c r="C8" s="82">
        <v>2209.4499999999998</v>
      </c>
      <c r="D8" s="82"/>
      <c r="E8" s="82"/>
      <c r="F8" s="83">
        <v>58.93</v>
      </c>
      <c r="G8" s="83"/>
      <c r="H8" s="83"/>
      <c r="I8" s="83">
        <f>F8*C8</f>
        <v>130202.88849999999</v>
      </c>
      <c r="J8" s="83">
        <f>G8*D8</f>
        <v>0</v>
      </c>
      <c r="K8" s="83">
        <f>H8*E8</f>
        <v>0</v>
      </c>
    </row>
    <row r="9" spans="1:11" ht="31.5" x14ac:dyDescent="0.25">
      <c r="A9" s="82" t="s">
        <v>210</v>
      </c>
      <c r="B9" s="93"/>
      <c r="C9" s="82">
        <v>44.55</v>
      </c>
      <c r="D9" s="82"/>
      <c r="E9" s="82"/>
      <c r="F9" s="83">
        <v>8053.4</v>
      </c>
      <c r="G9" s="83"/>
      <c r="H9" s="83"/>
      <c r="I9" s="83">
        <f>C9*F9</f>
        <v>358778.97</v>
      </c>
      <c r="J9" s="83">
        <f t="shared" ref="J9:K9" si="1">D9*G9</f>
        <v>0</v>
      </c>
      <c r="K9" s="83">
        <f t="shared" si="1"/>
        <v>0</v>
      </c>
    </row>
    <row r="10" spans="1:11" ht="15.75" x14ac:dyDescent="0.25">
      <c r="A10" s="82" t="s">
        <v>211</v>
      </c>
      <c r="B10" s="93"/>
      <c r="C10" s="82">
        <v>5.64</v>
      </c>
      <c r="D10" s="82"/>
      <c r="E10" s="82"/>
      <c r="F10" s="83">
        <v>2257.4</v>
      </c>
      <c r="G10" s="83"/>
      <c r="H10" s="83"/>
      <c r="I10" s="83">
        <f>C10*F10</f>
        <v>12731.735999999999</v>
      </c>
      <c r="J10" s="83"/>
      <c r="K10" s="83"/>
    </row>
    <row r="11" spans="1:11" ht="31.5" x14ac:dyDescent="0.25">
      <c r="A11" s="82" t="s">
        <v>212</v>
      </c>
      <c r="B11" s="93"/>
      <c r="C11" s="82">
        <v>112</v>
      </c>
      <c r="D11" s="82"/>
      <c r="E11" s="82"/>
      <c r="F11" s="83">
        <v>2626.23</v>
      </c>
      <c r="G11" s="83"/>
      <c r="H11" s="83"/>
      <c r="I11" s="83">
        <f>C11*F11</f>
        <v>294137.76</v>
      </c>
      <c r="J11" s="83"/>
      <c r="K11" s="83"/>
    </row>
    <row r="12" spans="1:11" ht="15.75" x14ac:dyDescent="0.25">
      <c r="A12" s="82" t="s">
        <v>135</v>
      </c>
      <c r="B12" s="81">
        <v>9000</v>
      </c>
      <c r="C12" s="81" t="s">
        <v>11</v>
      </c>
      <c r="D12" s="81" t="s">
        <v>11</v>
      </c>
      <c r="E12" s="81" t="s">
        <v>11</v>
      </c>
      <c r="F12" s="81" t="s">
        <v>11</v>
      </c>
      <c r="G12" s="81" t="s">
        <v>11</v>
      </c>
      <c r="H12" s="81" t="s">
        <v>11</v>
      </c>
      <c r="I12" s="83">
        <f>SUM(I7:I11)</f>
        <v>3653490.1216000002</v>
      </c>
      <c r="J12" s="83">
        <f t="shared" ref="J12:K12" si="2">SUM(J7:J10)</f>
        <v>0</v>
      </c>
      <c r="K12" s="83">
        <f t="shared" si="2"/>
        <v>0</v>
      </c>
    </row>
    <row r="14" spans="1:11" x14ac:dyDescent="0.25">
      <c r="C14" s="507" t="s">
        <v>213</v>
      </c>
      <c r="D14" s="507"/>
      <c r="E14" s="507"/>
      <c r="F14" s="507"/>
      <c r="G14" s="507"/>
      <c r="H14" s="507"/>
      <c r="I14" s="507"/>
    </row>
    <row r="16" spans="1:11" x14ac:dyDescent="0.25">
      <c r="D16" s="80" t="s">
        <v>214</v>
      </c>
      <c r="E16" s="80"/>
      <c r="F16" s="80"/>
      <c r="G16" s="80"/>
      <c r="H16" s="80"/>
    </row>
  </sheetData>
  <mergeCells count="8">
    <mergeCell ref="C14:I14"/>
    <mergeCell ref="A1:K1"/>
    <mergeCell ref="E2:H2"/>
    <mergeCell ref="A3:A5"/>
    <mergeCell ref="B3:B5"/>
    <mergeCell ref="C3:E3"/>
    <mergeCell ref="F3:H3"/>
    <mergeCell ref="I3:K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</vt:i4>
      </vt:variant>
    </vt:vector>
  </HeadingPairs>
  <TitlesOfParts>
    <vt:vector size="23" baseType="lpstr">
      <vt:lpstr>Тит</vt:lpstr>
      <vt:lpstr>раздел 1</vt:lpstr>
      <vt:lpstr>раздел 2</vt:lpstr>
      <vt:lpstr>211</vt:lpstr>
      <vt:lpstr>212</vt:lpstr>
      <vt:lpstr>213</vt:lpstr>
      <vt:lpstr>221</vt:lpstr>
      <vt:lpstr>222</vt:lpstr>
      <vt:lpstr>223</vt:lpstr>
      <vt:lpstr>225</vt:lpstr>
      <vt:lpstr>226</vt:lpstr>
      <vt:lpstr>290</vt:lpstr>
      <vt:lpstr>310</vt:lpstr>
      <vt:lpstr>112</vt:lpstr>
      <vt:lpstr>340</vt:lpstr>
      <vt:lpstr>7566</vt:lpstr>
      <vt:lpstr>214</vt:lpstr>
      <vt:lpstr>0210080010</vt:lpstr>
      <vt:lpstr>0240188021</vt:lpstr>
      <vt:lpstr>151690</vt:lpstr>
      <vt:lpstr>262</vt:lpstr>
      <vt:lpstr>80140</vt:lpstr>
      <vt:lpstr>'225'!Область_печати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RYO-18-1</dc:creator>
  <cp:lastModifiedBy>123</cp:lastModifiedBy>
  <cp:lastPrinted>2021-07-19T08:07:44Z</cp:lastPrinted>
  <dcterms:created xsi:type="dcterms:W3CDTF">2020-11-12T08:29:03Z</dcterms:created>
  <dcterms:modified xsi:type="dcterms:W3CDTF">2021-07-19T08:08:51Z</dcterms:modified>
</cp:coreProperties>
</file>