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8800" windowHeight="13725" activeTab="3"/>
  </bookViews>
  <sheets>
    <sheet name="тит" sheetId="5" r:id="rId1"/>
    <sheet name="раздел 1" sheetId="6" r:id="rId2"/>
    <sheet name="раздел 2" sheetId="7" r:id="rId3"/>
    <sheet name="Лист4" sheetId="9" r:id="rId4"/>
    <sheet name="Лист7" sheetId="16" r:id="rId5"/>
    <sheet name="Лист6" sheetId="15" state="hidden" r:id="rId6"/>
    <sheet name="Лист2" sheetId="12" state="hidden" r:id="rId7"/>
    <sheet name="Лист3" sheetId="13" state="hidden" r:id="rId8"/>
    <sheet name="Лист5" sheetId="14" state="hidden" r:id="rId9"/>
    <sheet name="шт" sheetId="10" state="hidden" r:id="rId10"/>
    <sheet name="Лист1" sheetId="11" state="hidden" r:id="rId11"/>
  </sheets>
  <definedNames>
    <definedName name="_xlnm._FilterDatabase" localSheetId="10" hidden="1">Лист1!$C$3:$C$49</definedName>
    <definedName name="_xlnm._FilterDatabase" localSheetId="6" hidden="1">Лист2!$C$7:$H$32</definedName>
    <definedName name="_xlnm._FilterDatabase" localSheetId="3" hidden="1">Лист4!#REF!</definedName>
    <definedName name="_xlnm.Print_Area" localSheetId="10">Лист1!$B$3:$Q$44</definedName>
    <definedName name="_xlnm.Print_Area" localSheetId="3">Лист4!$A$1:$K$1272</definedName>
    <definedName name="_xlnm.Print_Area" localSheetId="1">'раздел 1'!$A$1:$K$33</definedName>
    <definedName name="_xlnm.Print_Area" localSheetId="2">'раздел 2'!$A$3:$G$35</definedName>
  </definedNames>
  <calcPr calcId="144525"/>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68" i="9" l="1"/>
  <c r="D855" i="9"/>
  <c r="D891" i="9"/>
  <c r="D884" i="9"/>
  <c r="F527" i="9"/>
  <c r="F266" i="9"/>
  <c r="E336" i="9"/>
  <c r="E500" i="9"/>
  <c r="D21" i="6" l="1"/>
  <c r="D18" i="6"/>
  <c r="D11" i="6"/>
  <c r="D29" i="6"/>
  <c r="D13" i="6"/>
  <c r="D19" i="6" l="1"/>
  <c r="I1255" i="9" l="1"/>
  <c r="I1238" i="9"/>
  <c r="I1221" i="9"/>
  <c r="H13" i="6"/>
  <c r="H11" i="6"/>
  <c r="H10" i="6" s="1"/>
  <c r="H8" i="6" s="1"/>
  <c r="F13" i="6"/>
  <c r="F11" i="6"/>
  <c r="F10" i="6" s="1"/>
  <c r="F8" i="6" s="1"/>
  <c r="I8" i="6"/>
  <c r="G8" i="6"/>
  <c r="F434" i="9"/>
  <c r="F435" i="9"/>
  <c r="F436" i="9"/>
  <c r="F437" i="9"/>
  <c r="F438" i="9"/>
  <c r="F439" i="9"/>
  <c r="F440" i="9"/>
  <c r="J441" i="9"/>
  <c r="F1175" i="9"/>
  <c r="F1174" i="9" l="1"/>
  <c r="F1173" i="9"/>
  <c r="F1172" i="9"/>
  <c r="F1171" i="9"/>
  <c r="F1176" i="9" l="1"/>
  <c r="E511" i="9" l="1"/>
  <c r="E1151" i="9"/>
  <c r="E1150" i="9"/>
  <c r="E8" i="6"/>
  <c r="E1164" i="9"/>
  <c r="F1091" i="9"/>
  <c r="D10" i="6"/>
  <c r="D8" i="6" s="1"/>
  <c r="I16" i="6" l="1"/>
  <c r="G16" i="6"/>
  <c r="F29" i="6"/>
  <c r="E16" i="6"/>
  <c r="E1152" i="9" l="1"/>
  <c r="E296" i="9" l="1"/>
  <c r="F360" i="9"/>
  <c r="F331" i="9"/>
  <c r="D16" i="6" l="1"/>
  <c r="H32" i="6"/>
  <c r="F32" i="6"/>
  <c r="D32" i="6"/>
  <c r="E1128" i="9" l="1"/>
  <c r="D1128" i="9" s="1"/>
  <c r="F1139" i="9"/>
  <c r="F1140" i="9" s="1"/>
  <c r="F1117" i="9"/>
  <c r="F1118" i="9" s="1"/>
  <c r="E1129" i="9" l="1"/>
  <c r="E1139" i="9"/>
  <c r="H21" i="6"/>
  <c r="H18" i="6"/>
  <c r="F1092" i="9"/>
  <c r="G1104" i="9"/>
  <c r="F1103" i="9"/>
  <c r="C1082" i="9"/>
  <c r="C1081" i="9"/>
  <c r="D1081" i="9" s="1"/>
  <c r="C1078" i="9"/>
  <c r="D1078" i="9" s="1"/>
  <c r="C1076" i="9"/>
  <c r="D1076" i="9" s="1"/>
  <c r="C1071" i="9"/>
  <c r="D1069" i="9"/>
  <c r="C1060" i="9"/>
  <c r="C1059" i="9"/>
  <c r="D1059" i="9" s="1"/>
  <c r="C1056" i="9"/>
  <c r="D1056" i="9" s="1"/>
  <c r="C1054" i="9"/>
  <c r="D1054" i="9" s="1"/>
  <c r="D1050" i="9"/>
  <c r="C1049" i="9"/>
  <c r="D1049" i="9" s="1"/>
  <c r="D903" i="9"/>
  <c r="D906" i="9" s="1"/>
  <c r="D907" i="9" s="1"/>
  <c r="F511" i="9"/>
  <c r="D1071" i="9" l="1"/>
  <c r="D1082" i="9"/>
  <c r="D1047" i="9"/>
  <c r="D1060" i="9" s="1"/>
  <c r="D1074" i="9"/>
  <c r="D1052" i="9"/>
  <c r="F410" i="9" l="1"/>
  <c r="F430" i="9"/>
  <c r="F431" i="9"/>
  <c r="F432" i="9"/>
  <c r="F433" i="9"/>
  <c r="F421" i="9"/>
  <c r="F422" i="9"/>
  <c r="F423" i="9"/>
  <c r="F424" i="9"/>
  <c r="F425" i="9"/>
  <c r="F426" i="9"/>
  <c r="F427" i="9"/>
  <c r="F428" i="9"/>
  <c r="F429" i="9"/>
  <c r="F413" i="9"/>
  <c r="F414" i="9"/>
  <c r="F415" i="9"/>
  <c r="F416" i="9"/>
  <c r="F417" i="9"/>
  <c r="F418" i="9"/>
  <c r="F419" i="9"/>
  <c r="F420" i="9"/>
  <c r="F405" i="9"/>
  <c r="F406" i="9"/>
  <c r="F407" i="9"/>
  <c r="F408" i="9"/>
  <c r="F409" i="9"/>
  <c r="F411" i="9"/>
  <c r="F412" i="9"/>
  <c r="F397" i="9"/>
  <c r="F398" i="9"/>
  <c r="F399" i="9"/>
  <c r="F400" i="9"/>
  <c r="F401" i="9"/>
  <c r="F402" i="9"/>
  <c r="F403" i="9"/>
  <c r="F404" i="9"/>
  <c r="F396" i="9"/>
  <c r="F445" i="9"/>
  <c r="F446" i="9" s="1"/>
  <c r="F475" i="9"/>
  <c r="F441" i="9" l="1"/>
  <c r="E1034" i="9"/>
  <c r="E1033" i="9"/>
  <c r="E1035" i="9" l="1"/>
  <c r="G1017" i="9"/>
  <c r="F1004" i="9" l="1"/>
  <c r="D972" i="9"/>
  <c r="D970" i="9"/>
  <c r="D969" i="9"/>
  <c r="D974" i="9" l="1"/>
  <c r="J904" i="9"/>
  <c r="D890" i="9"/>
  <c r="F948" i="9"/>
  <c r="H948" i="9" s="1"/>
  <c r="I949" i="9" s="1"/>
  <c r="J948" i="9"/>
  <c r="G949" i="9"/>
  <c r="E949" i="9"/>
  <c r="C949" i="9"/>
  <c r="F949" i="9" l="1"/>
  <c r="H949" i="9"/>
  <c r="J949" i="9"/>
  <c r="H923" i="9" l="1"/>
  <c r="G923" i="9"/>
  <c r="F923" i="9"/>
  <c r="E923" i="9"/>
  <c r="C923" i="9"/>
  <c r="I922" i="9"/>
  <c r="J922" i="9"/>
  <c r="J921" i="9"/>
  <c r="I921" i="9"/>
  <c r="J920" i="9"/>
  <c r="I920" i="9"/>
  <c r="J919" i="9"/>
  <c r="I919" i="9"/>
  <c r="J905" i="9"/>
  <c r="H903" i="9"/>
  <c r="I903" i="9" s="1"/>
  <c r="J903" i="9"/>
  <c r="H904" i="9"/>
  <c r="I904" i="9" s="1"/>
  <c r="H905" i="9"/>
  <c r="I905" i="9" s="1"/>
  <c r="C906" i="9"/>
  <c r="E906" i="9"/>
  <c r="F906" i="9"/>
  <c r="G906" i="9"/>
  <c r="G890" i="9"/>
  <c r="F890" i="9"/>
  <c r="E890" i="9"/>
  <c r="C890" i="9"/>
  <c r="J889" i="9"/>
  <c r="H889" i="9"/>
  <c r="I889" i="9" s="1"/>
  <c r="J888" i="9"/>
  <c r="H888" i="9"/>
  <c r="I888" i="9" s="1"/>
  <c r="J887" i="9"/>
  <c r="H887" i="9"/>
  <c r="I887" i="9" s="1"/>
  <c r="J886" i="9"/>
  <c r="H886" i="9"/>
  <c r="I886" i="9" s="1"/>
  <c r="J885" i="9"/>
  <c r="H885" i="9"/>
  <c r="I885" i="9" s="1"/>
  <c r="J884" i="9"/>
  <c r="H884" i="9"/>
  <c r="I884" i="9" s="1"/>
  <c r="J883" i="9"/>
  <c r="H883" i="9"/>
  <c r="I883" i="9" s="1"/>
  <c r="J882" i="9"/>
  <c r="H882" i="9"/>
  <c r="C867" i="9"/>
  <c r="D867" i="9" s="1"/>
  <c r="C862" i="9"/>
  <c r="D862" i="9" s="1"/>
  <c r="C868" i="9"/>
  <c r="C845" i="9"/>
  <c r="C844" i="9"/>
  <c r="D844" i="9" s="1"/>
  <c r="C841" i="9"/>
  <c r="D841" i="9" s="1"/>
  <c r="C839" i="9"/>
  <c r="D839" i="9" s="1"/>
  <c r="D835" i="9"/>
  <c r="C834" i="9"/>
  <c r="D834" i="9" s="1"/>
  <c r="F821" i="9"/>
  <c r="F820" i="9"/>
  <c r="F819" i="9"/>
  <c r="F818" i="9"/>
  <c r="D806" i="9"/>
  <c r="D808" i="9" s="1"/>
  <c r="H790" i="9"/>
  <c r="G790" i="9"/>
  <c r="F790" i="9"/>
  <c r="E790" i="9"/>
  <c r="C790" i="9"/>
  <c r="I789" i="9"/>
  <c r="D789" i="9" s="1"/>
  <c r="J789" i="9" s="1"/>
  <c r="J788" i="9"/>
  <c r="I788" i="9"/>
  <c r="J787" i="9"/>
  <c r="I787" i="9"/>
  <c r="J786" i="9"/>
  <c r="I786" i="9"/>
  <c r="F774" i="9"/>
  <c r="F773" i="9"/>
  <c r="F772" i="9"/>
  <c r="F758" i="9"/>
  <c r="F757" i="9"/>
  <c r="F756" i="9"/>
  <c r="C742" i="9"/>
  <c r="C741" i="9"/>
  <c r="D741" i="9" s="1"/>
  <c r="C738" i="9"/>
  <c r="D738" i="9" s="1"/>
  <c r="C736" i="9"/>
  <c r="D736" i="9" s="1"/>
  <c r="D732" i="9"/>
  <c r="C731" i="9"/>
  <c r="D731" i="9" s="1"/>
  <c r="D702" i="9"/>
  <c r="D704" i="9" s="1"/>
  <c r="C715" i="9"/>
  <c r="C714" i="9"/>
  <c r="D714" i="9" s="1"/>
  <c r="C711" i="9"/>
  <c r="D711" i="9" s="1"/>
  <c r="C709" i="9"/>
  <c r="D709" i="9" s="1"/>
  <c r="C704" i="9"/>
  <c r="C686" i="9"/>
  <c r="C685" i="9"/>
  <c r="D685" i="9" s="1"/>
  <c r="C682" i="9"/>
  <c r="D682" i="9" s="1"/>
  <c r="C680" i="9"/>
  <c r="D680" i="9" s="1"/>
  <c r="C675" i="9"/>
  <c r="D673" i="9"/>
  <c r="D675" i="9" s="1"/>
  <c r="F656" i="9"/>
  <c r="F657" i="9" s="1"/>
  <c r="F646" i="9"/>
  <c r="I636" i="9"/>
  <c r="E635" i="9"/>
  <c r="E636" i="9" s="1"/>
  <c r="I626" i="9"/>
  <c r="E626" i="9"/>
  <c r="I625" i="9"/>
  <c r="E625" i="9"/>
  <c r="E624" i="9"/>
  <c r="E623" i="9"/>
  <c r="D615" i="9"/>
  <c r="D604" i="9"/>
  <c r="E592" i="9"/>
  <c r="F576" i="9"/>
  <c r="I563" i="9"/>
  <c r="E562" i="9"/>
  <c r="E563" i="9" s="1"/>
  <c r="F553" i="9"/>
  <c r="F554" i="9" s="1"/>
  <c r="E544" i="9"/>
  <c r="F528" i="9"/>
  <c r="F512" i="9"/>
  <c r="E501" i="9"/>
  <c r="E489" i="9"/>
  <c r="F476" i="9"/>
  <c r="F469" i="9"/>
  <c r="J446" i="9"/>
  <c r="A416" i="9"/>
  <c r="A414" i="9"/>
  <c r="A411" i="9"/>
  <c r="A409" i="9"/>
  <c r="A407" i="9"/>
  <c r="A405" i="9"/>
  <c r="A403" i="9"/>
  <c r="A401" i="9"/>
  <c r="A399" i="9"/>
  <c r="A397" i="9"/>
  <c r="E389" i="9"/>
  <c r="E376" i="9"/>
  <c r="E360" i="9"/>
  <c r="F362" i="9"/>
  <c r="F361" i="9"/>
  <c r="E361" i="9"/>
  <c r="F359" i="9"/>
  <c r="F358" i="9"/>
  <c r="F357" i="9"/>
  <c r="F356" i="9"/>
  <c r="F355" i="9"/>
  <c r="F354" i="9"/>
  <c r="F353" i="9"/>
  <c r="F352" i="9"/>
  <c r="F351" i="9"/>
  <c r="F350" i="9"/>
  <c r="E331" i="9"/>
  <c r="E337" i="9"/>
  <c r="F336" i="9"/>
  <c r="F335" i="9"/>
  <c r="E335" i="9" s="1"/>
  <c r="F334" i="9"/>
  <c r="F333" i="9"/>
  <c r="E332" i="9"/>
  <c r="F330" i="9"/>
  <c r="E330" i="9" s="1"/>
  <c r="D314" i="9"/>
  <c r="F313" i="9"/>
  <c r="D313" i="9" s="1"/>
  <c r="F312" i="9"/>
  <c r="C311" i="9"/>
  <c r="E299" i="9"/>
  <c r="F283" i="9"/>
  <c r="F282" i="9"/>
  <c r="F267" i="9"/>
  <c r="F255" i="9"/>
  <c r="E244" i="9"/>
  <c r="E243"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189" i="9"/>
  <c r="E188" i="9"/>
  <c r="E187" i="9"/>
  <c r="F172" i="9"/>
  <c r="F173" i="9" s="1"/>
  <c r="F157" i="9"/>
  <c r="F156" i="9"/>
  <c r="F155" i="9"/>
  <c r="F145" i="9"/>
  <c r="E133" i="9"/>
  <c r="E132" i="9"/>
  <c r="D119" i="9"/>
  <c r="D118" i="9"/>
  <c r="D115" i="9"/>
  <c r="E106" i="9"/>
  <c r="E107" i="9" s="1"/>
  <c r="F96" i="9"/>
  <c r="F95" i="9"/>
  <c r="F80" i="9"/>
  <c r="F79" i="9"/>
  <c r="F78" i="9"/>
  <c r="F65" i="9"/>
  <c r="E53" i="9"/>
  <c r="E52" i="9"/>
  <c r="E51" i="9"/>
  <c r="E50" i="9"/>
  <c r="E49" i="9"/>
  <c r="E48" i="9"/>
  <c r="E47" i="9"/>
  <c r="E46" i="9"/>
  <c r="E45" i="9"/>
  <c r="D35" i="9"/>
  <c r="D34" i="9"/>
  <c r="F24" i="9"/>
  <c r="F25" i="9" s="1"/>
  <c r="F316" i="9" l="1"/>
  <c r="F775" i="9"/>
  <c r="D312" i="9"/>
  <c r="I627" i="9"/>
  <c r="J890" i="9"/>
  <c r="E627" i="9"/>
  <c r="F759" i="9"/>
  <c r="I790" i="9"/>
  <c r="F822" i="9"/>
  <c r="D832" i="9"/>
  <c r="D845" i="9" s="1"/>
  <c r="I923" i="9"/>
  <c r="D734" i="9"/>
  <c r="D923" i="9"/>
  <c r="D924" i="9" s="1"/>
  <c r="I906" i="9"/>
  <c r="H906" i="9"/>
  <c r="J906" i="9"/>
  <c r="H890" i="9"/>
  <c r="I882" i="9"/>
  <c r="I890" i="9" s="1"/>
  <c r="C857" i="9"/>
  <c r="D857" i="9"/>
  <c r="C864" i="9"/>
  <c r="D864" i="9" s="1"/>
  <c r="D860" i="9" s="1"/>
  <c r="D837" i="9"/>
  <c r="D790" i="9"/>
  <c r="D715" i="9"/>
  <c r="D729" i="9"/>
  <c r="D742" i="9" s="1"/>
  <c r="D707" i="9"/>
  <c r="D686" i="9"/>
  <c r="D678" i="9"/>
  <c r="F363" i="9"/>
  <c r="I363" i="9" s="1"/>
  <c r="F338" i="9"/>
  <c r="E245" i="9"/>
  <c r="F284" i="9"/>
  <c r="E229" i="9"/>
  <c r="E190" i="9"/>
  <c r="D120" i="9"/>
  <c r="F158" i="9"/>
  <c r="E134" i="9"/>
  <c r="D36" i="9"/>
  <c r="F97" i="9"/>
  <c r="F81" i="9"/>
  <c r="E54" i="9"/>
  <c r="J923" i="9" l="1"/>
  <c r="D791" i="9"/>
  <c r="J790" i="9"/>
  <c r="C9" i="9" l="1"/>
  <c r="E18" i="7" l="1"/>
  <c r="F18" i="7" s="1"/>
  <c r="G18" i="7" s="1"/>
  <c r="F17" i="7"/>
  <c r="G17" i="7" s="1"/>
  <c r="E17" i="7"/>
  <c r="G13" i="7"/>
  <c r="F13" i="7"/>
  <c r="E13" i="7"/>
  <c r="F10" i="7"/>
  <c r="E10" i="7"/>
  <c r="E20" i="7" l="1"/>
  <c r="E21" i="7" s="1"/>
  <c r="F20" i="7"/>
  <c r="F21" i="7" s="1"/>
  <c r="G20" i="7"/>
  <c r="G21" i="7" s="1"/>
  <c r="F19" i="6"/>
  <c r="H14" i="6"/>
  <c r="F14" i="6"/>
  <c r="D14" i="6"/>
  <c r="H19" i="6" l="1"/>
  <c r="F16" i="6"/>
  <c r="H29" i="6"/>
  <c r="J226" i="16"/>
  <c r="D70" i="16" s="1"/>
  <c r="K226" i="16"/>
  <c r="E70" i="16" s="1"/>
  <c r="I226" i="16"/>
  <c r="C70" i="16" s="1"/>
  <c r="K315" i="16"/>
  <c r="K316" i="16" s="1"/>
  <c r="J315" i="16"/>
  <c r="J316" i="16" s="1"/>
  <c r="I315" i="16"/>
  <c r="I316" i="16" s="1"/>
  <c r="K325" i="16"/>
  <c r="K326" i="16"/>
  <c r="K327" i="16"/>
  <c r="K328" i="16"/>
  <c r="K329" i="16"/>
  <c r="K330" i="16"/>
  <c r="K331" i="16"/>
  <c r="K332" i="16"/>
  <c r="K333" i="16"/>
  <c r="K334" i="16"/>
  <c r="K335" i="16"/>
  <c r="K336" i="16"/>
  <c r="K337" i="16"/>
  <c r="J325" i="16"/>
  <c r="J326" i="16"/>
  <c r="J327" i="16"/>
  <c r="J328" i="16"/>
  <c r="J329" i="16"/>
  <c r="J330" i="16"/>
  <c r="J331" i="16"/>
  <c r="J332" i="16"/>
  <c r="J333" i="16"/>
  <c r="J334" i="16"/>
  <c r="J335" i="16"/>
  <c r="J336" i="16"/>
  <c r="J337" i="16"/>
  <c r="I325" i="16"/>
  <c r="I326" i="16"/>
  <c r="I327" i="16"/>
  <c r="I328" i="16"/>
  <c r="I329" i="16"/>
  <c r="I330" i="16"/>
  <c r="I331" i="16"/>
  <c r="I332" i="16"/>
  <c r="I333" i="16"/>
  <c r="I334" i="16"/>
  <c r="I335" i="16"/>
  <c r="I336" i="16"/>
  <c r="I337" i="16"/>
  <c r="K324" i="16"/>
  <c r="J324" i="16"/>
  <c r="I324" i="16"/>
  <c r="K346" i="16"/>
  <c r="K347" i="16" s="1"/>
  <c r="E72" i="16" s="1"/>
  <c r="J346" i="16"/>
  <c r="J347" i="16" s="1"/>
  <c r="D72" i="16" s="1"/>
  <c r="I346" i="16"/>
  <c r="I347" i="16" s="1"/>
  <c r="C72" i="16" s="1"/>
  <c r="K355" i="16"/>
  <c r="K356" i="16"/>
  <c r="K357" i="16"/>
  <c r="K358" i="16"/>
  <c r="K359" i="16"/>
  <c r="K360" i="16"/>
  <c r="K361" i="16"/>
  <c r="K362" i="16"/>
  <c r="K363" i="16"/>
  <c r="K364" i="16"/>
  <c r="K365" i="16"/>
  <c r="K366" i="16"/>
  <c r="K354" i="16"/>
  <c r="J355" i="16"/>
  <c r="J356" i="16"/>
  <c r="J357" i="16"/>
  <c r="J358" i="16"/>
  <c r="J359" i="16"/>
  <c r="J360" i="16"/>
  <c r="J361" i="16"/>
  <c r="J362" i="16"/>
  <c r="J363" i="16"/>
  <c r="J364" i="16"/>
  <c r="J365" i="16"/>
  <c r="J366" i="16"/>
  <c r="J354" i="16"/>
  <c r="I355" i="16"/>
  <c r="I356" i="16"/>
  <c r="I357" i="16"/>
  <c r="I358" i="16"/>
  <c r="I359" i="16"/>
  <c r="I360" i="16"/>
  <c r="I361" i="16"/>
  <c r="I362" i="16"/>
  <c r="I363" i="16"/>
  <c r="I364" i="16"/>
  <c r="I365" i="16"/>
  <c r="I366" i="16"/>
  <c r="I354" i="16"/>
  <c r="N303" i="16"/>
  <c r="N304" i="16"/>
  <c r="N305" i="16"/>
  <c r="N306" i="16"/>
  <c r="N302" i="16"/>
  <c r="M303" i="16"/>
  <c r="M304" i="16"/>
  <c r="M305" i="16"/>
  <c r="M306" i="16"/>
  <c r="M302" i="16"/>
  <c r="L303" i="16"/>
  <c r="L304" i="16"/>
  <c r="L305" i="16"/>
  <c r="L306" i="16"/>
  <c r="L302" i="16"/>
  <c r="D69" i="16" l="1"/>
  <c r="D73" i="16" s="1"/>
  <c r="H16" i="6"/>
  <c r="E69" i="16"/>
  <c r="E73" i="16" s="1"/>
  <c r="G10" i="7"/>
  <c r="C69" i="16"/>
  <c r="C73" i="16" s="1"/>
  <c r="I338" i="16"/>
  <c r="K338" i="16"/>
  <c r="J338" i="16"/>
  <c r="J367" i="16"/>
  <c r="I367" i="16"/>
  <c r="J368" i="16"/>
  <c r="D254" i="16" s="1"/>
  <c r="K368" i="16"/>
  <c r="E254" i="16" s="1"/>
  <c r="K367" i="16"/>
  <c r="I368" i="16"/>
  <c r="C254" i="16" s="1"/>
  <c r="N307" i="16"/>
  <c r="L307" i="16"/>
  <c r="M307" i="16"/>
  <c r="K290" i="16"/>
  <c r="K291" i="16"/>
  <c r="K292" i="16"/>
  <c r="K293" i="16"/>
  <c r="K289" i="16"/>
  <c r="J290" i="16"/>
  <c r="J291" i="16"/>
  <c r="J292" i="16"/>
  <c r="J293" i="16"/>
  <c r="J289" i="16"/>
  <c r="I290" i="16"/>
  <c r="I291" i="16"/>
  <c r="I292" i="16"/>
  <c r="I293" i="16"/>
  <c r="I289" i="16"/>
  <c r="N266" i="16"/>
  <c r="N267" i="16"/>
  <c r="N268" i="16"/>
  <c r="N269" i="16"/>
  <c r="N270" i="16"/>
  <c r="N265" i="16"/>
  <c r="M266" i="16"/>
  <c r="M267" i="16"/>
  <c r="M268" i="16"/>
  <c r="M269" i="16"/>
  <c r="M270" i="16"/>
  <c r="M265" i="16"/>
  <c r="L269" i="16"/>
  <c r="L266" i="16"/>
  <c r="L267" i="16"/>
  <c r="L268" i="16"/>
  <c r="L270" i="16"/>
  <c r="L265" i="16"/>
  <c r="N207" i="16"/>
  <c r="N208" i="16" s="1"/>
  <c r="M207" i="16"/>
  <c r="M208" i="16" s="1"/>
  <c r="L207" i="16"/>
  <c r="L208" i="16" s="1"/>
  <c r="N197" i="16"/>
  <c r="N198" i="16"/>
  <c r="N196" i="16"/>
  <c r="M197" i="16"/>
  <c r="M198" i="16"/>
  <c r="M196" i="16"/>
  <c r="L197" i="16"/>
  <c r="L198" i="16"/>
  <c r="L196" i="16"/>
  <c r="K156" i="16"/>
  <c r="I156" i="16"/>
  <c r="G156" i="16"/>
  <c r="F156" i="16"/>
  <c r="E156" i="16"/>
  <c r="K133" i="16"/>
  <c r="I133" i="16"/>
  <c r="G133" i="16"/>
  <c r="F133" i="16"/>
  <c r="E133" i="16"/>
  <c r="K110" i="16"/>
  <c r="I110" i="16"/>
  <c r="F110" i="16"/>
  <c r="G110" i="16"/>
  <c r="E110" i="16"/>
  <c r="L199" i="16" l="1"/>
  <c r="J294" i="16"/>
  <c r="M271" i="16"/>
  <c r="N271" i="16"/>
  <c r="I294" i="16"/>
  <c r="K294" i="16"/>
  <c r="L271" i="16"/>
  <c r="M199" i="16"/>
  <c r="N199" i="16"/>
  <c r="D133" i="16"/>
  <c r="L133" i="16"/>
  <c r="D174" i="16" s="1"/>
  <c r="D179" i="16" s="1"/>
  <c r="D184" i="16" s="1"/>
  <c r="D185" i="16" s="1"/>
  <c r="D156" i="16"/>
  <c r="L110" i="16"/>
  <c r="D110" i="16"/>
  <c r="L156" i="16"/>
  <c r="E84" i="16" l="1"/>
  <c r="E87" i="16" s="1"/>
  <c r="D84" i="16"/>
  <c r="D87" i="16" s="1"/>
  <c r="D180" i="16"/>
  <c r="D183" i="16" s="1"/>
  <c r="E174" i="16"/>
  <c r="E179" i="16" s="1"/>
  <c r="H183" i="16"/>
  <c r="G183" i="16" s="1"/>
  <c r="H185" i="16"/>
  <c r="H175" i="16"/>
  <c r="H180" i="16"/>
  <c r="C185" i="16"/>
  <c r="C184" i="16" s="1"/>
  <c r="C183" i="16" s="1"/>
  <c r="C180" i="16" s="1"/>
  <c r="C179" i="16" s="1"/>
  <c r="C174" i="16" s="1"/>
  <c r="F185" i="16"/>
  <c r="F184" i="16" s="1"/>
  <c r="F183" i="16"/>
  <c r="C84" i="16"/>
  <c r="C87" i="16" s="1"/>
  <c r="F180" i="16"/>
  <c r="F175" i="16"/>
  <c r="F174" i="16" s="1"/>
  <c r="F179" i="16" l="1"/>
  <c r="F187" i="16" s="1"/>
  <c r="G175" i="16"/>
  <c r="H174" i="16"/>
  <c r="G180" i="16"/>
  <c r="H179" i="16"/>
  <c r="G179" i="16" s="1"/>
  <c r="G185" i="16"/>
  <c r="H184" i="16"/>
  <c r="G184" i="16" s="1"/>
  <c r="E184" i="16"/>
  <c r="E180" i="16"/>
  <c r="E183" i="16" s="1"/>
  <c r="E185" i="16" s="1"/>
  <c r="H187" i="16" l="1"/>
  <c r="E165" i="16" s="1"/>
  <c r="E166" i="16" s="1"/>
  <c r="G174" i="16"/>
  <c r="G187" i="16" s="1"/>
  <c r="D165" i="16" s="1"/>
  <c r="D166" i="16" s="1"/>
  <c r="C165" i="16"/>
  <c r="C166" i="16" s="1"/>
  <c r="K5" i="12" l="1"/>
  <c r="K4" i="12"/>
  <c r="U56" i="12"/>
  <c r="U55" i="12"/>
  <c r="U54" i="12"/>
  <c r="U53" i="12"/>
  <c r="U52" i="12"/>
  <c r="U51" i="12"/>
  <c r="U50" i="12"/>
  <c r="U49" i="12"/>
  <c r="U48" i="12"/>
  <c r="U47" i="12"/>
  <c r="N47" i="12"/>
  <c r="N48" i="12" s="1"/>
  <c r="N49" i="12" s="1"/>
  <c r="N50" i="12" s="1"/>
  <c r="N51" i="12" s="1"/>
  <c r="N52" i="12" s="1"/>
  <c r="N53" i="12" s="1"/>
  <c r="N54" i="12" s="1"/>
  <c r="N55" i="12" s="1"/>
  <c r="N56" i="12" s="1"/>
  <c r="N57" i="12" s="1"/>
  <c r="N58" i="12" s="1"/>
  <c r="N59" i="12" s="1"/>
  <c r="N60" i="12" s="1"/>
  <c r="N61" i="12" s="1"/>
  <c r="N62" i="12" s="1"/>
  <c r="N63" i="12" s="1"/>
  <c r="N64" i="12" s="1"/>
  <c r="N65" i="12" s="1"/>
  <c r="N66" i="12" s="1"/>
  <c r="N67" i="12" s="1"/>
  <c r="N68" i="12" s="1"/>
  <c r="N69" i="12" s="1"/>
  <c r="N70" i="12" s="1"/>
  <c r="N71" i="12" s="1"/>
  <c r="N72" i="12" s="1"/>
  <c r="N73" i="12" s="1"/>
  <c r="N74" i="12" s="1"/>
  <c r="N75" i="12" s="1"/>
  <c r="N76" i="12" s="1"/>
  <c r="N77" i="12" s="1"/>
  <c r="N78" i="12" s="1"/>
  <c r="N79" i="12" s="1"/>
  <c r="N80" i="12" s="1"/>
  <c r="U46" i="12"/>
  <c r="L92" i="12"/>
  <c r="U81" i="12" l="1"/>
  <c r="K70" i="12" l="1"/>
  <c r="K69" i="12"/>
  <c r="K68" i="12"/>
  <c r="K67" i="12"/>
  <c r="K66" i="12"/>
  <c r="K65" i="12"/>
  <c r="K64" i="12"/>
  <c r="K63" i="12"/>
  <c r="K62" i="12"/>
  <c r="K61" i="12"/>
  <c r="C61" i="12"/>
  <c r="C62" i="12" s="1"/>
  <c r="C63" i="12" s="1"/>
  <c r="C64" i="12" s="1"/>
  <c r="C65" i="12" s="1"/>
  <c r="C66" i="12" s="1"/>
  <c r="C67" i="12" s="1"/>
  <c r="C68" i="12" s="1"/>
  <c r="C69" i="12" s="1"/>
  <c r="C70" i="12" s="1"/>
  <c r="C71" i="12" s="1"/>
  <c r="C72" i="12" s="1"/>
  <c r="C73" i="12" s="1"/>
  <c r="C74" i="12" s="1"/>
  <c r="C75" i="12" s="1"/>
  <c r="C76" i="12" s="1"/>
  <c r="C77" i="12" s="1"/>
  <c r="C78" i="12" s="1"/>
  <c r="C79" i="12" s="1"/>
  <c r="C80" i="12" s="1"/>
  <c r="C81" i="12" s="1"/>
  <c r="C82" i="12" s="1"/>
  <c r="C83" i="12" s="1"/>
  <c r="C84" i="12" s="1"/>
  <c r="C85" i="12" s="1"/>
  <c r="C86" i="12" s="1"/>
  <c r="C87" i="12" s="1"/>
  <c r="C88" i="12" s="1"/>
  <c r="C89" i="12" s="1"/>
  <c r="C90" i="12" s="1"/>
  <c r="C91" i="12" s="1"/>
  <c r="C92" i="12" s="1"/>
  <c r="C93" i="12" s="1"/>
  <c r="C94" i="12" s="1"/>
  <c r="K60" i="12"/>
  <c r="H56" i="12"/>
  <c r="H30" i="12"/>
  <c r="H29" i="12"/>
  <c r="H28" i="12"/>
  <c r="H27" i="12"/>
  <c r="H26" i="12"/>
  <c r="H25" i="12"/>
  <c r="H24" i="12"/>
  <c r="H23" i="12"/>
  <c r="H22" i="12"/>
  <c r="H21" i="12"/>
  <c r="H20" i="12"/>
  <c r="H19" i="12"/>
  <c r="H18" i="12"/>
  <c r="H17" i="12"/>
  <c r="H16" i="12"/>
  <c r="H15" i="12"/>
  <c r="H14" i="12"/>
  <c r="H13" i="12"/>
  <c r="H12" i="12"/>
  <c r="H11" i="12"/>
  <c r="H10" i="12"/>
  <c r="H9" i="12"/>
  <c r="H8" i="12"/>
  <c r="H7" i="12"/>
  <c r="I17" i="12"/>
  <c r="K95" i="12" l="1"/>
  <c r="M96" i="12" s="1"/>
  <c r="M69" i="12" s="1"/>
  <c r="M70" i="12" s="1"/>
  <c r="L70" i="12"/>
  <c r="F31" i="12"/>
  <c r="F32" i="12" s="1"/>
  <c r="J33" i="12"/>
  <c r="J27" i="12"/>
  <c r="H31" i="12"/>
  <c r="I31" i="12" s="1"/>
  <c r="K31" i="12" l="1"/>
  <c r="Q29" i="11"/>
  <c r="G30" i="11" l="1"/>
  <c r="G23" i="11"/>
  <c r="F21" i="11"/>
  <c r="Q24" i="11"/>
  <c r="Q28" i="11"/>
  <c r="E33" i="11"/>
  <c r="R23" i="11"/>
  <c r="H46" i="11"/>
  <c r="M46" i="11"/>
  <c r="P46" i="11"/>
  <c r="K50" i="11"/>
  <c r="S45" i="11"/>
  <c r="I19" i="11"/>
  <c r="Q20" i="11"/>
  <c r="Q15" i="11" s="1"/>
  <c r="I15" i="11"/>
  <c r="E40" i="11"/>
  <c r="J42" i="11"/>
  <c r="E38" i="11"/>
  <c r="Q13" i="11"/>
  <c r="Q9" i="11" s="1"/>
  <c r="Q21" i="11" l="1"/>
  <c r="R22" i="11" l="1"/>
  <c r="G15" i="11"/>
  <c r="K42" i="11" l="1"/>
  <c r="E42" i="11" s="1"/>
  <c r="F15" i="11"/>
  <c r="G9" i="11"/>
  <c r="F9" i="11"/>
  <c r="F6" i="11"/>
  <c r="S21" i="11" l="1"/>
  <c r="T21" i="11" s="1"/>
  <c r="G21" i="11" l="1"/>
  <c r="P49" i="11"/>
  <c r="T39" i="11"/>
  <c r="T37" i="11"/>
  <c r="T36" i="11"/>
  <c r="T35" i="11"/>
  <c r="T34" i="11"/>
  <c r="T32" i="11"/>
  <c r="T31" i="11"/>
  <c r="T30" i="11"/>
  <c r="T29" i="11"/>
  <c r="T26" i="11"/>
  <c r="E36" i="11"/>
  <c r="B42" i="11"/>
  <c r="B41" i="11"/>
  <c r="R47" i="11"/>
  <c r="Q48" i="11"/>
  <c r="E23" i="11"/>
  <c r="T23" i="11" s="1"/>
  <c r="Q47" i="11"/>
  <c r="B21" i="11"/>
  <c r="P15" i="11"/>
  <c r="O15" i="11"/>
  <c r="N15" i="11"/>
  <c r="L15" i="11"/>
  <c r="K15" i="11"/>
  <c r="J15" i="11"/>
  <c r="H15" i="11"/>
  <c r="S15" i="11"/>
  <c r="M19" i="11"/>
  <c r="R18" i="11"/>
  <c r="T18" i="11" s="1"/>
  <c r="R17" i="11"/>
  <c r="T17" i="11" s="1"/>
  <c r="R16" i="11"/>
  <c r="T16" i="11" s="1"/>
  <c r="B15" i="11"/>
  <c r="D14" i="11"/>
  <c r="B14" i="11"/>
  <c r="P9" i="11"/>
  <c r="O9" i="11"/>
  <c r="N9" i="11"/>
  <c r="M9" i="11"/>
  <c r="L9" i="11"/>
  <c r="K9" i="11"/>
  <c r="J9" i="11"/>
  <c r="I9" i="11"/>
  <c r="H9" i="11"/>
  <c r="P47" i="11"/>
  <c r="D9" i="11"/>
  <c r="B9" i="11"/>
  <c r="D8" i="11"/>
  <c r="B8" i="11"/>
  <c r="D7" i="11"/>
  <c r="K4" i="11"/>
  <c r="N4" i="11"/>
  <c r="E46" i="11"/>
  <c r="E45" i="11"/>
  <c r="E44" i="11"/>
  <c r="E43" i="11"/>
  <c r="E41" i="11"/>
  <c r="E39" i="11"/>
  <c r="K48" i="11" s="1"/>
  <c r="E37" i="11"/>
  <c r="E35" i="11"/>
  <c r="E34" i="11"/>
  <c r="E32" i="11"/>
  <c r="E31" i="11"/>
  <c r="E30" i="11"/>
  <c r="E29" i="11"/>
  <c r="E27" i="11"/>
  <c r="E26" i="11"/>
  <c r="E25" i="11"/>
  <c r="E18" i="11"/>
  <c r="E17" i="11"/>
  <c r="E16" i="11"/>
  <c r="E14" i="11"/>
  <c r="E12" i="11"/>
  <c r="E11" i="11"/>
  <c r="E10" i="11"/>
  <c r="E8" i="11"/>
  <c r="E7" i="11"/>
  <c r="D5" i="11"/>
  <c r="B5" i="11"/>
  <c r="D4" i="11"/>
  <c r="B4" i="11"/>
  <c r="E29" i="10"/>
  <c r="AI28" i="10"/>
  <c r="G28" i="10"/>
  <c r="K28" i="10" s="1"/>
  <c r="AG28" i="10" s="1"/>
  <c r="AI27" i="10"/>
  <c r="G27" i="10"/>
  <c r="AI26" i="10"/>
  <c r="Q26" i="10"/>
  <c r="R26" i="10" s="1"/>
  <c r="T26" i="10" s="1"/>
  <c r="G26" i="10"/>
  <c r="AI25" i="10"/>
  <c r="Q25" i="10"/>
  <c r="R25" i="10" s="1"/>
  <c r="T25" i="10" s="1"/>
  <c r="G25" i="10"/>
  <c r="Q24" i="10"/>
  <c r="R24" i="10" s="1"/>
  <c r="T24" i="10" s="1"/>
  <c r="G24" i="10"/>
  <c r="Q23" i="10"/>
  <c r="R23" i="10" s="1"/>
  <c r="T23" i="10" s="1"/>
  <c r="G23" i="10"/>
  <c r="Q22" i="10"/>
  <c r="R22" i="10" s="1"/>
  <c r="T22" i="10" s="1"/>
  <c r="G22" i="10"/>
  <c r="AJ21" i="10"/>
  <c r="AJ25" i="10" s="1"/>
  <c r="AJ26" i="10" s="1"/>
  <c r="AJ27" i="10" s="1"/>
  <c r="AJ28" i="10" s="1"/>
  <c r="AI21" i="10"/>
  <c r="Q21" i="10"/>
  <c r="R21" i="10" s="1"/>
  <c r="T21" i="10" s="1"/>
  <c r="G21" i="10"/>
  <c r="AJ20" i="10"/>
  <c r="AI20" i="10"/>
  <c r="Q20" i="10"/>
  <c r="R20" i="10" s="1"/>
  <c r="T20" i="10" s="1"/>
  <c r="G20" i="10"/>
  <c r="AI19" i="10"/>
  <c r="AK19" i="10" s="1"/>
  <c r="Q19" i="10"/>
  <c r="R19" i="10" s="1"/>
  <c r="T19" i="10" s="1"/>
  <c r="G19" i="10"/>
  <c r="I19" i="10" s="1"/>
  <c r="Q18" i="10"/>
  <c r="R18" i="10" s="1"/>
  <c r="T18" i="10" s="1"/>
  <c r="G18" i="10"/>
  <c r="I18" i="10" s="1"/>
  <c r="AI17" i="10"/>
  <c r="Q17" i="10"/>
  <c r="R17" i="10" s="1"/>
  <c r="T17" i="10" s="1"/>
  <c r="G17" i="10"/>
  <c r="I17" i="10" s="1"/>
  <c r="AJ16" i="10"/>
  <c r="AJ17" i="10" s="1"/>
  <c r="AI16" i="10"/>
  <c r="Q16" i="10"/>
  <c r="R16" i="10" s="1"/>
  <c r="T16" i="10" s="1"/>
  <c r="G16" i="10"/>
  <c r="I16" i="10" s="1"/>
  <c r="Q15" i="10"/>
  <c r="R15" i="10" s="1"/>
  <c r="T15" i="10" s="1"/>
  <c r="G15" i="10"/>
  <c r="I15" i="10" s="1"/>
  <c r="AI14" i="10"/>
  <c r="Q14" i="10"/>
  <c r="R14" i="10" s="1"/>
  <c r="T14" i="10" s="1"/>
  <c r="G14" i="10"/>
  <c r="P13" i="10"/>
  <c r="G13" i="10"/>
  <c r="M15" i="11" l="1"/>
  <c r="R19" i="11"/>
  <c r="T19" i="11" s="1"/>
  <c r="AK20" i="10"/>
  <c r="H28" i="11"/>
  <c r="AI29" i="10"/>
  <c r="AK16" i="10"/>
  <c r="E24" i="11"/>
  <c r="E9" i="11"/>
  <c r="R9" i="11" s="1"/>
  <c r="E15" i="11"/>
  <c r="R15" i="11" s="1"/>
  <c r="T15" i="11" s="1"/>
  <c r="E19" i="11"/>
  <c r="AK14" i="10"/>
  <c r="AK21" i="10"/>
  <c r="AK27" i="10"/>
  <c r="G29" i="10"/>
  <c r="AK25" i="10"/>
  <c r="AK26" i="10"/>
  <c r="I28" i="10"/>
  <c r="AK17" i="10"/>
  <c r="AK28" i="10"/>
  <c r="K13" i="10"/>
  <c r="AG13" i="10" s="1"/>
  <c r="T13" i="10"/>
  <c r="T29" i="10" s="1"/>
  <c r="AJ13" i="10"/>
  <c r="AK13" i="10" s="1"/>
  <c r="K14" i="10"/>
  <c r="K20" i="10"/>
  <c r="K21" i="10"/>
  <c r="K22" i="10"/>
  <c r="K23" i="10"/>
  <c r="K24" i="10"/>
  <c r="K25" i="10"/>
  <c r="AG25" i="10" s="1"/>
  <c r="K26" i="10"/>
  <c r="K27" i="10"/>
  <c r="AG27" i="10" s="1"/>
  <c r="R29" i="10"/>
  <c r="I13" i="10"/>
  <c r="I14" i="10"/>
  <c r="K15" i="10"/>
  <c r="X15" i="10" s="1"/>
  <c r="K16" i="10"/>
  <c r="X16" i="10" s="1"/>
  <c r="K17" i="10"/>
  <c r="X17" i="10" s="1"/>
  <c r="K18" i="10"/>
  <c r="X18" i="10" s="1"/>
  <c r="K19" i="10"/>
  <c r="X19" i="10" s="1"/>
  <c r="I20" i="10"/>
  <c r="I21" i="10"/>
  <c r="AA21" i="10" s="1"/>
  <c r="I22" i="10"/>
  <c r="I23" i="10"/>
  <c r="I24" i="10"/>
  <c r="I25" i="10"/>
  <c r="I26" i="10"/>
  <c r="I27" i="10"/>
  <c r="AA14" i="10" l="1"/>
  <c r="V17" i="10"/>
  <c r="AC17" i="10" s="1"/>
  <c r="V13" i="10"/>
  <c r="X26" i="10"/>
  <c r="AA24" i="10"/>
  <c r="AA22" i="10"/>
  <c r="AA20" i="10"/>
  <c r="I28" i="11"/>
  <c r="H21" i="11"/>
  <c r="X13" i="10"/>
  <c r="J5" i="11"/>
  <c r="J6" i="11" s="1"/>
  <c r="X25" i="10"/>
  <c r="AA25" i="10"/>
  <c r="X22" i="10"/>
  <c r="AA18" i="10"/>
  <c r="AG26" i="10"/>
  <c r="V21" i="10"/>
  <c r="AA19" i="10"/>
  <c r="V23" i="10"/>
  <c r="AA23" i="10"/>
  <c r="AA26" i="10"/>
  <c r="AA13" i="10"/>
  <c r="V26" i="10"/>
  <c r="V24" i="10"/>
  <c r="V20" i="10"/>
  <c r="AG17" i="10"/>
  <c r="AA15" i="10"/>
  <c r="X23" i="10"/>
  <c r="V14" i="10"/>
  <c r="AA17" i="10"/>
  <c r="AA16" i="10"/>
  <c r="V25" i="10"/>
  <c r="K29" i="10"/>
  <c r="X21" i="10"/>
  <c r="Y21" i="10" s="1"/>
  <c r="Z21" i="10" s="1"/>
  <c r="X24" i="10"/>
  <c r="X20" i="10"/>
  <c r="X14" i="10"/>
  <c r="V19" i="10"/>
  <c r="V18" i="10"/>
  <c r="AC18" i="10" s="1"/>
  <c r="V16" i="10"/>
  <c r="V15" i="10"/>
  <c r="AC15" i="10" s="1"/>
  <c r="Y13" i="10"/>
  <c r="I29" i="10"/>
  <c r="V22" i="10"/>
  <c r="AG21" i="10"/>
  <c r="AG20" i="10"/>
  <c r="AG14" i="10"/>
  <c r="AK29" i="10"/>
  <c r="Y15" i="10"/>
  <c r="Z15" i="10" s="1"/>
  <c r="AG19" i="10"/>
  <c r="AG16" i="10"/>
  <c r="Y17" i="10" l="1"/>
  <c r="Z17" i="10" s="1"/>
  <c r="AC26" i="10"/>
  <c r="AC13" i="10"/>
  <c r="Y24" i="10"/>
  <c r="Z24" i="10" s="1"/>
  <c r="Y26" i="10"/>
  <c r="Z26" i="10" s="1"/>
  <c r="I21" i="11"/>
  <c r="J28" i="11"/>
  <c r="AC14" i="10"/>
  <c r="AC20" i="10"/>
  <c r="K5" i="11"/>
  <c r="K6" i="11" s="1"/>
  <c r="Y19" i="10"/>
  <c r="Z19" i="10" s="1"/>
  <c r="AC19" i="10"/>
  <c r="AC21" i="10"/>
  <c r="AG29" i="10"/>
  <c r="Y18" i="10"/>
  <c r="Z18" i="10" s="1"/>
  <c r="Y14" i="10"/>
  <c r="Z14" i="10" s="1"/>
  <c r="AC24" i="10"/>
  <c r="Y22" i="10"/>
  <c r="Z22" i="10" s="1"/>
  <c r="AC22" i="10"/>
  <c r="Y16" i="10"/>
  <c r="Z16" i="10" s="1"/>
  <c r="AC16" i="10"/>
  <c r="Y20" i="10"/>
  <c r="Z20" i="10" s="1"/>
  <c r="Y25" i="10"/>
  <c r="Z25" i="10" s="1"/>
  <c r="AC25" i="10"/>
  <c r="Y23" i="10"/>
  <c r="Z23" i="10" s="1"/>
  <c r="AC23" i="10"/>
  <c r="Z13" i="10"/>
  <c r="X29" i="10"/>
  <c r="V29" i="10"/>
  <c r="Y29" i="10" l="1"/>
  <c r="Y40" i="10" s="1"/>
  <c r="J21" i="11"/>
  <c r="K28" i="11"/>
  <c r="M4" i="11"/>
  <c r="L5" i="11"/>
  <c r="L6" i="11" s="1"/>
  <c r="Z29" i="10"/>
  <c r="S41" i="11"/>
  <c r="T41" i="11" s="1"/>
  <c r="R25" i="11" l="1"/>
  <c r="T25" i="11" s="1"/>
  <c r="S14" i="11"/>
  <c r="R27" i="11"/>
  <c r="T27" i="11" s="1"/>
  <c r="R24" i="11"/>
  <c r="T24" i="11" s="1"/>
  <c r="T47" i="11" s="1"/>
  <c r="K21" i="11"/>
  <c r="L28" i="11"/>
  <c r="M5" i="11"/>
  <c r="M6" i="11" s="1"/>
  <c r="S42" i="11"/>
  <c r="R48" i="11" s="1"/>
  <c r="S7" i="11" l="1"/>
  <c r="S8" i="11"/>
  <c r="L21" i="11"/>
  <c r="M28" i="11"/>
  <c r="S9" i="11"/>
  <c r="T9" i="11" s="1"/>
  <c r="N5" i="11"/>
  <c r="N6" i="11" s="1"/>
  <c r="M21" i="11" l="1"/>
  <c r="N28" i="11"/>
  <c r="N21" i="11" l="1"/>
  <c r="O28" i="11"/>
  <c r="Q4" i="11"/>
  <c r="P5" i="11"/>
  <c r="P6" i="11" s="1"/>
  <c r="O21" i="11" l="1"/>
  <c r="P28" i="11"/>
  <c r="P21" i="11" s="1"/>
  <c r="Q5" i="11"/>
  <c r="Q6" i="11" s="1"/>
  <c r="E28" i="11" l="1"/>
  <c r="R28" i="11" s="1"/>
  <c r="E21" i="11"/>
  <c r="T28" i="11" l="1"/>
  <c r="L50" i="11"/>
  <c r="T44" i="11"/>
  <c r="O47" i="11"/>
  <c r="F4" i="11" l="1"/>
  <c r="F5" i="11" s="1"/>
  <c r="G4" i="11" l="1"/>
  <c r="G5" i="11" s="1"/>
  <c r="G6" i="11" s="1"/>
  <c r="O4" i="11"/>
  <c r="O5" i="11" s="1"/>
  <c r="O6" i="11" s="1"/>
  <c r="H4" i="11" l="1"/>
  <c r="I4" i="11" s="1"/>
  <c r="E4" i="11" s="1"/>
  <c r="H5" i="11" l="1"/>
  <c r="H6" i="11" s="1"/>
  <c r="I5" i="11"/>
  <c r="I6" i="11" s="1"/>
  <c r="E6" i="11" l="1"/>
  <c r="E5" i="11"/>
  <c r="S4" i="11" l="1"/>
  <c r="R4" i="11" s="1"/>
  <c r="S5" i="11" l="1"/>
  <c r="R5" i="11" s="1"/>
  <c r="S47" i="11" l="1"/>
  <c r="S49" i="11" s="1"/>
</calcChain>
</file>

<file path=xl/sharedStrings.xml><?xml version="1.0" encoding="utf-8"?>
<sst xmlns="http://schemas.openxmlformats.org/spreadsheetml/2006/main" count="2939" uniqueCount="1057">
  <si>
    <t>Наименование показателя</t>
  </si>
  <si>
    <t>Всего</t>
  </si>
  <si>
    <t>в том числе</t>
  </si>
  <si>
    <t>всего</t>
  </si>
  <si>
    <t>в том числе:</t>
  </si>
  <si>
    <t>п/п</t>
  </si>
  <si>
    <t>руб.</t>
  </si>
  <si>
    <t>(подпись)</t>
  </si>
  <si>
    <t xml:space="preserve">План финансово - хозяйственной деятельности </t>
  </si>
  <si>
    <t>КОДЫ</t>
  </si>
  <si>
    <t>Дата</t>
  </si>
  <si>
    <t>Наименование муниципального учреждения Северо-Енисейского района</t>
  </si>
  <si>
    <t>по ОКЕИ</t>
  </si>
  <si>
    <t>КПП</t>
  </si>
  <si>
    <t>Код по бюджетной классификации Российской Федерации</t>
  </si>
  <si>
    <t xml:space="preserve"> </t>
  </si>
  <si>
    <t>Код строки</t>
  </si>
  <si>
    <t>Год начала закупки</t>
  </si>
  <si>
    <t>X</t>
  </si>
  <si>
    <t>Код целевой статьи расходов</t>
  </si>
  <si>
    <t>Код видов расходов</t>
  </si>
  <si>
    <t>111</t>
  </si>
  <si>
    <t>Источник финансового обеспечения</t>
  </si>
  <si>
    <t>№ п/п</t>
  </si>
  <si>
    <t>Установленная численность, единиц</t>
  </si>
  <si>
    <t>по должностному окладу</t>
  </si>
  <si>
    <t>по выплатам стимулирующего характера</t>
  </si>
  <si>
    <t xml:space="preserve">Заведующий </t>
  </si>
  <si>
    <t>Уборщик служебных помещений</t>
  </si>
  <si>
    <t>112</t>
  </si>
  <si>
    <t>Наименование расходов</t>
  </si>
  <si>
    <t>Сумма, руб (гр.3*гр.4*гр.5)</t>
  </si>
  <si>
    <t>ИТОГО</t>
  </si>
  <si>
    <t>119</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</si>
  <si>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</si>
  <si>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</si>
  <si>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</si>
  <si>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</si>
  <si>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</si>
  <si>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</si>
  <si>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</si>
  <si>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</si>
  <si>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</si>
  <si>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 xml:space="preserve">с применением пониженных тарифов взносов в Пенсионный фонд Российской Федерации для отдельных категорий плательщиков </t>
  </si>
  <si>
    <t xml:space="preserve">Страховые взносы в Фонд социального страхования Российской Федерации, всего </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</si>
  <si>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</si>
  <si>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</si>
  <si>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</si>
  <si>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</si>
  <si>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</si>
  <si>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</si>
  <si>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</si>
  <si>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</si>
  <si>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</si>
  <si>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</si>
  <si>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Средний размер выплаты на одного работника в день, руб</t>
  </si>
  <si>
    <t>Количество работников, чел</t>
  </si>
  <si>
    <t>Суточные</t>
  </si>
  <si>
    <t>Проезд</t>
  </si>
  <si>
    <t>Проживание</t>
  </si>
  <si>
    <t>244</t>
  </si>
  <si>
    <t xml:space="preserve">Количество платежей в год </t>
  </si>
  <si>
    <t>переговоры по району, мин</t>
  </si>
  <si>
    <t>Переговоры за пределами района,мин</t>
  </si>
  <si>
    <t>Абоненская плата за услуги связи, номеров</t>
  </si>
  <si>
    <t xml:space="preserve">Абоненская плата за услуги Интернет </t>
  </si>
  <si>
    <t>Количество услуг перевозки</t>
  </si>
  <si>
    <t>Размер потребления ресурсов</t>
  </si>
  <si>
    <t>Тариф (с учетом НДС), руб</t>
  </si>
  <si>
    <t>Индексация, %</t>
  </si>
  <si>
    <t>Теплоэнергия</t>
  </si>
  <si>
    <t>Электроэнергия</t>
  </si>
  <si>
    <t>Объект</t>
  </si>
  <si>
    <t>Количество работ (услуг)</t>
  </si>
  <si>
    <t>Стоимость работ (услуг), руб</t>
  </si>
  <si>
    <t>Количество договоров</t>
  </si>
  <si>
    <t>Стоимость услуги, руб</t>
  </si>
  <si>
    <t>Сумма, руб (гр.3*гр.4)</t>
  </si>
  <si>
    <t>Средняя стоимость, руб</t>
  </si>
  <si>
    <t>Бумага А4</t>
  </si>
  <si>
    <t>Наименование</t>
  </si>
  <si>
    <t>Утверждено:</t>
  </si>
  <si>
    <t xml:space="preserve">Приказом муниципального бюджетного физкультурно-оздоровительное учреждения «Бассейн «АЯХТА» Северо-Енисейского района»
</t>
  </si>
  <si>
    <t>от «____» __________ 2016 г. № ______</t>
  </si>
  <si>
    <t>Муниципальное бюджетное физкультурно-оздоровительное учреждение «Бассейн «АЯХТА» Северо-Енисейского района»</t>
  </si>
  <si>
    <t>(наименование организации)</t>
  </si>
  <si>
    <t>Дата составления</t>
  </si>
  <si>
    <t>ШТАТНОЕ РАСПИСАНИЕ</t>
  </si>
  <si>
    <t>.11.2016</t>
  </si>
  <si>
    <t>Структурное подразделение</t>
  </si>
  <si>
    <t>Должность (специальность, профессия), разряд, класс (категория) квалификации</t>
  </si>
  <si>
    <t>Количество штатных единиц</t>
  </si>
  <si>
    <t>Должностной оклад</t>
  </si>
  <si>
    <t>Должностной оклад с учетом штатной численности</t>
  </si>
  <si>
    <t>персональные надбавки</t>
  </si>
  <si>
    <t>стимулирующие надбавки</t>
  </si>
  <si>
    <t>Районный коэффициент руб.</t>
  </si>
  <si>
    <t>Процентная надбавка за работу в районах Крайнего Севера или приравненных к ним  руб.</t>
  </si>
  <si>
    <t>ФОТ в месяц с учетом кол ставок</t>
  </si>
  <si>
    <t>Максимальные выплаты на 1 штатную единицу ед.</t>
  </si>
  <si>
    <t>ФОТ гарантированной части заработной платы</t>
  </si>
  <si>
    <t xml:space="preserve">Максимальное колличество баллов на 1 ставку </t>
  </si>
  <si>
    <t xml:space="preserve">Максимальное колличество баллов согласно штатной единицы </t>
  </si>
  <si>
    <t>Стоимость 1 балла</t>
  </si>
  <si>
    <t>Всего  стимулирующие</t>
  </si>
  <si>
    <t>Профессиональные квалификационные группы</t>
  </si>
  <si>
    <t xml:space="preserve"> Сложность , напряженность и особый режим работы</t>
  </si>
  <si>
    <t xml:space="preserve">Персональные выплаты </t>
  </si>
  <si>
    <t>Выплата за важность выполняемой работы, спепень самостоятельности и ответственности при выполнении поставленных задач</t>
  </si>
  <si>
    <t>Выплата за качество выполняемых работ</t>
  </si>
  <si>
    <t>Максимальное колличество выплат на 1 ставку (всего)</t>
  </si>
  <si>
    <t xml:space="preserve">Максимальное колличество выплат согласно штатной единицы </t>
  </si>
  <si>
    <t>Максимальные выплаты стимулирующего характера</t>
  </si>
  <si>
    <t>%</t>
  </si>
  <si>
    <t>сумма</t>
  </si>
  <si>
    <t>балл</t>
  </si>
  <si>
    <t>Административно-управленческий персонал</t>
  </si>
  <si>
    <t>Положение по оплате труда работников муниципальных учреждений физической культуры и спорта от 16.07.2015 № 396-п</t>
  </si>
  <si>
    <t>Заместитель заведующего по административно-хозяйственной части</t>
  </si>
  <si>
    <t xml:space="preserve">ПР №247-н 2 группа 1 квалиф уровень </t>
  </si>
  <si>
    <t>Администратор</t>
  </si>
  <si>
    <t xml:space="preserve">Отделение плавиния и медицинской службы </t>
  </si>
  <si>
    <t>ПР 526 ПКГ "Врачи и провизоры" 2 уровень</t>
  </si>
  <si>
    <t>Врач-специалист</t>
  </si>
  <si>
    <t>ПР №526 ПКГ"Средний медицинский и фармацевтический персонал" 5 уровень</t>
  </si>
  <si>
    <t>Старшая медицинская сестра</t>
  </si>
  <si>
    <t>ПР №526 ПКГ"Средний медицинский и фармацевтический персонал" 3 уровень</t>
  </si>
  <si>
    <t>Медицинская сестра</t>
  </si>
  <si>
    <t>ПР № 165-н 2  группа 1 квалиф уровень</t>
  </si>
  <si>
    <t>Инструктор по спорту</t>
  </si>
  <si>
    <t>Отделение обслуживания бассейна</t>
  </si>
  <si>
    <t xml:space="preserve">ПР №247-н 3 группа 2 квалиф уровень </t>
  </si>
  <si>
    <t>Инженер</t>
  </si>
  <si>
    <t>Положение по оплате труда работников муниципальных учреждений физической культуры и спорта</t>
  </si>
  <si>
    <t>Электрик по ремонту электрооборудования</t>
  </si>
  <si>
    <t>Аппаратчик химводоочистки</t>
  </si>
  <si>
    <t>Технический персонал</t>
  </si>
  <si>
    <t>Рабочий по комплексному обслуживанию здания</t>
  </si>
  <si>
    <t xml:space="preserve">ПР №248-н 1 группа 1 квалиф уровень </t>
  </si>
  <si>
    <t>Гардеробщик</t>
  </si>
  <si>
    <t>Дворник</t>
  </si>
  <si>
    <t xml:space="preserve">Общеотр проф раб №248-н 1 группа 1 квалиф уровень </t>
  </si>
  <si>
    <t>Заведующий МБУ "Бассейн "Аяхта"</t>
  </si>
  <si>
    <t>Заведующий муниципального бюджетного физкультурно-оздоровительного учреждения «Бассейн «АЯХТА» Северо-Енисейского района»</t>
  </si>
  <si>
    <t>Главный бухгалтер отдела физической культуры, спорта и молодежной политики администрации Северо-Енисейского района</t>
  </si>
  <si>
    <t xml:space="preserve">Группа правового, кадрового и технического обеспечния
</t>
  </si>
  <si>
    <t xml:space="preserve">Водоснабжение </t>
  </si>
  <si>
    <t>Водоотведение</t>
  </si>
  <si>
    <t>Вывоз снега с территории</t>
  </si>
  <si>
    <t>Договор на обслуживание кассового аппарата</t>
  </si>
  <si>
    <t>Договор на техническое обслуживание (АКВА БОНА)</t>
  </si>
  <si>
    <t>Мед препараты</t>
  </si>
  <si>
    <t>январь</t>
  </si>
  <si>
    <t>февраль</t>
  </si>
  <si>
    <t>март</t>
  </si>
  <si>
    <t>апрель</t>
  </si>
  <si>
    <t>май</t>
  </si>
  <si>
    <t>июнь</t>
  </si>
  <si>
    <t>июль</t>
  </si>
  <si>
    <t>август</t>
  </si>
  <si>
    <t>сентябрь</t>
  </si>
  <si>
    <t>октябрь</t>
  </si>
  <si>
    <t>ноябрь</t>
  </si>
  <si>
    <t>декабрь</t>
  </si>
  <si>
    <t>по договор</t>
  </si>
  <si>
    <t>по финансированию</t>
  </si>
  <si>
    <t>459 1102 091 0188010</t>
  </si>
  <si>
    <t>мусор</t>
  </si>
  <si>
    <t>охрана</t>
  </si>
  <si>
    <t>очистка снега</t>
  </si>
  <si>
    <t>обучение</t>
  </si>
  <si>
    <t>мед осм</t>
  </si>
  <si>
    <t>семис</t>
  </si>
  <si>
    <t>дезинсекция</t>
  </si>
  <si>
    <t>касса</t>
  </si>
  <si>
    <t>димеркур</t>
  </si>
  <si>
    <t>эк паспорт</t>
  </si>
  <si>
    <t>аквабона</t>
  </si>
  <si>
    <t>нотариус</t>
  </si>
  <si>
    <t>налог</t>
  </si>
  <si>
    <t>итп</t>
  </si>
  <si>
    <t>=Лист4!F99</t>
  </si>
  <si>
    <t>211</t>
  </si>
  <si>
    <t>213</t>
  </si>
  <si>
    <t>212</t>
  </si>
  <si>
    <t>221</t>
  </si>
  <si>
    <t>222</t>
  </si>
  <si>
    <t>223</t>
  </si>
  <si>
    <t>310</t>
  </si>
  <si>
    <t>340</t>
  </si>
  <si>
    <t>продукция к дню защиты детей + 9 мая</t>
  </si>
  <si>
    <t>фильтры к вентиляц установке</t>
  </si>
  <si>
    <t xml:space="preserve">Щетка утюжок </t>
  </si>
  <si>
    <t xml:space="preserve">Щетка для мытья окон  </t>
  </si>
  <si>
    <t xml:space="preserve">Стакан одноразовый </t>
  </si>
  <si>
    <t>Экви-плюс для повышения уровня pH, кг</t>
  </si>
  <si>
    <t>Эквитал для осветления воды в бассейне, кг</t>
  </si>
  <si>
    <t>Аквадехлор, кг</t>
  </si>
  <si>
    <t>Эмовекс гипохлорид натрия 30л (34кг)</t>
  </si>
  <si>
    <t>прв. Вентиляции</t>
  </si>
  <si>
    <t>возмещ мед осмотра</t>
  </si>
  <si>
    <t>Договор на проведение лабораторных исследований проб воды</t>
  </si>
  <si>
    <t>иссед воды</t>
  </si>
  <si>
    <t>канцелярии и сантехнических товаров</t>
  </si>
  <si>
    <t>приобретение хозяйственных товаров</t>
  </si>
  <si>
    <t>Чистящее средство «Пемолюкс»</t>
  </si>
  <si>
    <t>Чистящее средство «СХЗ Санфор антиржавщина»</t>
  </si>
  <si>
    <t>Мыло хозяйственное «ММЗ»</t>
  </si>
  <si>
    <t>Порошок стиральный «Дефф»</t>
  </si>
  <si>
    <t>Чистящее средство «Чистюнька»</t>
  </si>
  <si>
    <t>Отбеливающее средство «Белизна»</t>
  </si>
  <si>
    <t>Губка для посуды (без товарного знака)</t>
  </si>
  <si>
    <t xml:space="preserve">Щетка «утюжок» </t>
  </si>
  <si>
    <t>Тряпка для пола (без товарного знака)</t>
  </si>
  <si>
    <t>Швабра (без товарного знака)</t>
  </si>
  <si>
    <t>Щетка для мытья окон «Мультипласт»</t>
  </si>
  <si>
    <t>Салфетка для всех видов уборки (без товарного знака)</t>
  </si>
  <si>
    <t>Метла  «Баба Яга»</t>
  </si>
  <si>
    <t>Стакан одноразовый (без товарного знака)</t>
  </si>
  <si>
    <t>Полотенца бумажные для диспенсеров «Торк»</t>
  </si>
  <si>
    <t>Тряпка для окон «NEW GALAXY PVA»</t>
  </si>
  <si>
    <t>Регенерирующий крем для рук «СКС Profline»</t>
  </si>
  <si>
    <t>Бахилы (без товарного знака)</t>
  </si>
  <si>
    <t>Средство для мытья посуды «Чистюнька»</t>
  </si>
  <si>
    <t>Лопата (без товарного знака)</t>
  </si>
  <si>
    <t xml:space="preserve">Лопата «Землеройка» </t>
  </si>
  <si>
    <t>Движок для снега «ЗИ-00064»</t>
  </si>
  <si>
    <r>
      <t>Скреппер «ЗИ-00064»</t>
    </r>
    <r>
      <rPr>
        <sz val="10"/>
        <color theme="1"/>
        <rFont val="Times New Roman"/>
        <family val="1"/>
        <charset val="204"/>
      </rPr>
      <t xml:space="preserve"> </t>
    </r>
  </si>
  <si>
    <t>Веник (без товарного знака)</t>
  </si>
  <si>
    <t>Пакеты для мусора</t>
  </si>
  <si>
    <t>Средство для мытья пола «Прогресс-эко»</t>
  </si>
  <si>
    <t>Перчатки «Лотус»</t>
  </si>
  <si>
    <t>Средство для прочистки труб «Санфор для труб 5 минут»</t>
  </si>
  <si>
    <t>Салфетки для ЖК мониторов «Бюро»</t>
  </si>
  <si>
    <t>Щетинистое покрытие (без товарного знака)</t>
  </si>
  <si>
    <t>Совок для мусора «Мегапласт»</t>
  </si>
  <si>
    <r>
      <t>Щетка для межплиточных швов «Мегапласт»</t>
    </r>
    <r>
      <rPr>
        <sz val="10"/>
        <color theme="1"/>
        <rFont val="Times New Roman"/>
        <family val="1"/>
        <charset val="204"/>
      </rPr>
      <t xml:space="preserve"> </t>
    </r>
  </si>
  <si>
    <t>Дезинфицирующее средство «Ника Экстра М»</t>
  </si>
  <si>
    <t>Таблетки для обеззараживания воды «Ока таб»</t>
  </si>
  <si>
    <t>шт.</t>
  </si>
  <si>
    <t>упак.</t>
  </si>
  <si>
    <t>рул.</t>
  </si>
  <si>
    <t>л.</t>
  </si>
  <si>
    <t>№</t>
  </si>
  <si>
    <t>п\п</t>
  </si>
  <si>
    <t>Наименование товара</t>
  </si>
  <si>
    <t>Кол-во</t>
  </si>
  <si>
    <t>Цена,</t>
  </si>
  <si>
    <t>Сумма,</t>
  </si>
  <si>
    <t>Антистеплер</t>
  </si>
  <si>
    <t>Листки с клейкой полосой для заметок</t>
  </si>
  <si>
    <t>Дырокол</t>
  </si>
  <si>
    <t>Закладки с клеевым краем</t>
  </si>
  <si>
    <t>Карандаш чернографитовый HB</t>
  </si>
  <si>
    <t>Клей-карандаш</t>
  </si>
  <si>
    <t>Корректор кисть</t>
  </si>
  <si>
    <t>Корректор ленточный</t>
  </si>
  <si>
    <t>Нить для сшивки документов</t>
  </si>
  <si>
    <t>Ластик</t>
  </si>
  <si>
    <t>Резинки для денег</t>
  </si>
  <si>
    <t>Линейка металлическая 50 см</t>
  </si>
  <si>
    <t>Маркеры-текстовыделители, 4 цвета</t>
  </si>
  <si>
    <t>Маркеры тонкий (краска) белый</t>
  </si>
  <si>
    <t>Маркеры тонкий (краска) черный</t>
  </si>
  <si>
    <t>Ножницы канцелярские</t>
  </si>
  <si>
    <t>Папка с файлами 40 файлов</t>
  </si>
  <si>
    <t>Папка с арочным механизмом</t>
  </si>
  <si>
    <t>Папка с зажимом</t>
  </si>
  <si>
    <t>Скоросшиватель пластиковый</t>
  </si>
  <si>
    <t>Файлы</t>
  </si>
  <si>
    <t>Ручка глеевая черная</t>
  </si>
  <si>
    <t>Ручка шариковая</t>
  </si>
  <si>
    <t>Набор цветных глеевых ручек</t>
  </si>
  <si>
    <t>Скобы для степлера</t>
  </si>
  <si>
    <t>Скотч 50 мм</t>
  </si>
  <si>
    <t>Скрепки 50 мм</t>
  </si>
  <si>
    <t>Стержни простые</t>
  </si>
  <si>
    <t>Точилка</t>
  </si>
  <si>
    <t>Рамка для фотографии 30х40 см</t>
  </si>
  <si>
    <t>Рамка для фотографии 21х30 см</t>
  </si>
  <si>
    <t>Тетрадь в клетку 18 л</t>
  </si>
  <si>
    <t>Саморез по металлу 3 см</t>
  </si>
  <si>
    <t>Дюбель гвоздь 6х40</t>
  </si>
  <si>
    <t>Шпатлёвка для гипсокартона, 25 кг</t>
  </si>
  <si>
    <t>Шлифовальная сетка 180, упак</t>
  </si>
  <si>
    <t>Шлифовальная бумага 320, упак</t>
  </si>
  <si>
    <t>Плинтус серый</t>
  </si>
  <si>
    <t>Заклушки на плинтус (внутр., наружные) всех по 10 шт.</t>
  </si>
  <si>
    <t>Профиль металлический 70х45 мм</t>
  </si>
  <si>
    <t>Саморез по металлу с пресшайбой 1 см</t>
  </si>
  <si>
    <t>Нож канцелярский 18мм</t>
  </si>
  <si>
    <t>Лезвия для ножа канцелярского 18мм</t>
  </si>
  <si>
    <t>Доводчик двери левый</t>
  </si>
  <si>
    <t>Доводчик двери правый</t>
  </si>
  <si>
    <t>Сверла по металлу набор</t>
  </si>
  <si>
    <t>Сверла по дереву набор</t>
  </si>
  <si>
    <t>Отвертка крестовая 2М</t>
  </si>
  <si>
    <t>Ножовка по металлу</t>
  </si>
  <si>
    <t>Скотч малярный 50 мм</t>
  </si>
  <si>
    <t>Сверло по кафелю, 6мм</t>
  </si>
  <si>
    <t>Рулетка 3 метра</t>
  </si>
  <si>
    <t>Ведро черное 15 литров</t>
  </si>
  <si>
    <t>Миксер для растворов</t>
  </si>
  <si>
    <t>Лента фум</t>
  </si>
  <si>
    <t>Герметик силиконовый санитарный</t>
  </si>
  <si>
    <t>Болт на 6 мм длина 3см</t>
  </si>
  <si>
    <t>Болт на 8 мм длина 4см</t>
  </si>
  <si>
    <t>Болт на 10 мм длина 5см</t>
  </si>
  <si>
    <t>Гайка на 6 мм</t>
  </si>
  <si>
    <t>Гайка на 8 мм</t>
  </si>
  <si>
    <t>Гайка на 10 мм</t>
  </si>
  <si>
    <t>Диск отрезной по металлу на 115х1,2х22</t>
  </si>
  <si>
    <t>Зеркало</t>
  </si>
  <si>
    <t>Часы настенные</t>
  </si>
  <si>
    <t>Перчатки латексные</t>
  </si>
  <si>
    <t>Кран букса для шаровых кранов DN40</t>
  </si>
  <si>
    <t>Арматура для сливного бочка унитаза (нижнее)</t>
  </si>
  <si>
    <t>Пакеты для мусора 30л</t>
  </si>
  <si>
    <t>Кран для унитаза DN15 (1/2)</t>
  </si>
  <si>
    <t>Тройник DN15</t>
  </si>
  <si>
    <t>Гибкая подводка DN15 (гайка х гайка) длина 1 метр</t>
  </si>
  <si>
    <t>Гофра для вытяжки диаметр 100мм, м.п.</t>
  </si>
  <si>
    <t>Изолента синяя</t>
  </si>
  <si>
    <t>Гофра для унитаза короткая</t>
  </si>
  <si>
    <t>Лак по дереву бесцветный, 1л</t>
  </si>
  <si>
    <t>Набор фрез по дереву</t>
  </si>
  <si>
    <t>Щетинистое покрытие, м.п.</t>
  </si>
  <si>
    <t>Замок навесной</t>
  </si>
  <si>
    <t>Навесы для навесного замка прямые</t>
  </si>
  <si>
    <t>Навесы для навесного замка загнутые</t>
  </si>
  <si>
    <t>Краска для бетонного пола серая огнестойкая, л</t>
  </si>
  <si>
    <t>Краска глубокоматовая INTERIEUR фисташковая лот-21310003, 9л</t>
  </si>
  <si>
    <t>Краска глубокоматовая INTERIEUR MAT3 зеленая лот-21408177, 9л</t>
  </si>
  <si>
    <t>Сода</t>
  </si>
  <si>
    <t>соль крупная</t>
  </si>
  <si>
    <t>F-уголок пластиковый 15х55мм</t>
  </si>
  <si>
    <t>Горшки для цветов белые 400х400 мм</t>
  </si>
  <si>
    <t>Кисть малярная 120х25 мм</t>
  </si>
  <si>
    <t>Кисть малярная 60х10 мм</t>
  </si>
  <si>
    <t>Набор диэлектрических отверток</t>
  </si>
  <si>
    <t>Набор термоусадочных трубок</t>
  </si>
  <si>
    <t>Коврик входной ворсовый влаго-грязезащитный 1000х700 мм</t>
  </si>
  <si>
    <t>Батарейки пальчиковые</t>
  </si>
  <si>
    <t>Батарейки мизинчиковые</t>
  </si>
  <si>
    <t>Итого:</t>
  </si>
  <si>
    <t>Продукция</t>
  </si>
  <si>
    <t>Кол-во*</t>
  </si>
  <si>
    <t>Цвет</t>
  </si>
  <si>
    <t>Ткань</t>
  </si>
  <si>
    <t>Размер</t>
  </si>
  <si>
    <t>Примечание</t>
  </si>
  <si>
    <t>Футболка</t>
  </si>
  <si>
    <t>белая</t>
  </si>
  <si>
    <t>х/б</t>
  </si>
  <si>
    <t>48-52</t>
  </si>
  <si>
    <t>Инструктор</t>
  </si>
  <si>
    <t>оранжевая</t>
  </si>
  <si>
    <t>Команда</t>
  </si>
  <si>
    <t>синяя</t>
  </si>
  <si>
    <t>Подарочная</t>
  </si>
  <si>
    <t>красная</t>
  </si>
  <si>
    <t>желтая</t>
  </si>
  <si>
    <t>Флаг</t>
  </si>
  <si>
    <t>-</t>
  </si>
  <si>
    <t>150*100</t>
  </si>
  <si>
    <t>Россия(улица)</t>
  </si>
  <si>
    <t>Красноярский край (улица)</t>
  </si>
  <si>
    <t xml:space="preserve">С-Енисейский район(улица) </t>
  </si>
  <si>
    <t>Бассейн «Аяхта» (улица)</t>
  </si>
  <si>
    <t>Кружка</t>
  </si>
  <si>
    <t>С логотипом</t>
  </si>
  <si>
    <t>Баннер</t>
  </si>
  <si>
    <t>6м.*4м</t>
  </si>
  <si>
    <t>С люверсами</t>
  </si>
  <si>
    <t>7м.*1,4м</t>
  </si>
  <si>
    <t>Шарф</t>
  </si>
  <si>
    <t>Кепки</t>
  </si>
  <si>
    <t>Шариковая ручка</t>
  </si>
  <si>
    <t>Брелок</t>
  </si>
  <si>
    <t>Рюкзак</t>
  </si>
  <si>
    <t>Ольга Алексеевна хозтовары бюджет 81552,90; внебюджет 140325,76</t>
  </si>
  <si>
    <t>Мыло жидкое туалетное с дезинфицирующим эффектом«Ника Свежесть антибактериальное»</t>
  </si>
  <si>
    <r>
      <t xml:space="preserve">Дезинфицирующее средство «Миродез универсал» </t>
    </r>
    <r>
      <rPr>
        <sz val="10"/>
        <color rgb="FF000000"/>
        <rFont val="Times New Roman"/>
        <family val="1"/>
        <charset val="204"/>
      </rPr>
      <t xml:space="preserve"> </t>
    </r>
  </si>
  <si>
    <t>Возмещение мед осмотра</t>
  </si>
  <si>
    <t>Эквиталл  30л (34 кг)</t>
  </si>
  <si>
    <t>Экви - минус  30л (34 кг)</t>
  </si>
  <si>
    <t>Альгитинн  непенящийся, быстродействующее жидкое средство для уничтожения водорослей, канистра 10 л.</t>
  </si>
  <si>
    <t>Клин Борт спрей 0,75л</t>
  </si>
  <si>
    <t>Таблетки DPD 1, для определения уровня Cl (10 шт.)  для анализатора, Bayrol</t>
  </si>
  <si>
    <t>Таблетки Phenol Red, для определения уровня pH (10 шт), для анализатора, Bayrol</t>
  </si>
  <si>
    <t>Таблетки DPD 1, для определения уровня Cl (10 шт.)  для фотометра, Bayrol</t>
  </si>
  <si>
    <t>Таблетки Alka-M, для определения уровня общей щелочности (10 шт), для фотометра, Bayrol</t>
  </si>
  <si>
    <t>Договор на прохождение периодического медицинского осмотра</t>
  </si>
  <si>
    <t>Договор на техническое обслуживание систем безопасности (охранная сигнализация, рекупиратор, видеонаблюдения, пожарные извещатели)</t>
  </si>
  <si>
    <t>Договор на дизенсекцию и дератизацию</t>
  </si>
  <si>
    <t>на 2020 год</t>
  </si>
  <si>
    <t>(подпись)                                         (расшифровка подписи)</t>
  </si>
  <si>
    <t>Численность работников, получающих пособие</t>
  </si>
  <si>
    <t>Размер выплаты (пособия) в месяц, руб</t>
  </si>
  <si>
    <t>Пособие по уходу за ребенком до 3-х лет</t>
  </si>
  <si>
    <t>Оказание охранных услуг (тревожная кнопка)</t>
  </si>
  <si>
    <t>Обезвреживание мед отходов класса Б</t>
  </si>
  <si>
    <t>Настройка системы кондиционирования</t>
  </si>
  <si>
    <t>Диагностика бытовой и оргтехники для определения возможности ее дальнейшего использования</t>
  </si>
  <si>
    <t>гипохлорит натрия   (40 кг)</t>
  </si>
  <si>
    <t>Экви - плюс  30л (34 кг)</t>
  </si>
  <si>
    <t>Веник</t>
  </si>
  <si>
    <t>Итого</t>
  </si>
  <si>
    <t>30</t>
  </si>
  <si>
    <t>Договор на прохождение предварительного медицинского осмотра</t>
  </si>
  <si>
    <t>Оплата полиса страхования владельца опасного объекта</t>
  </si>
  <si>
    <t>Сергеев Андрей Юрьевич</t>
  </si>
  <si>
    <t>Моисеенко Екатерина Ивановна</t>
  </si>
  <si>
    <t>Панкевич Александр Михайлович</t>
  </si>
  <si>
    <t>Носова Светлана Сергеевна</t>
  </si>
  <si>
    <t>Баранов Иван Владимирович</t>
  </si>
  <si>
    <t>Титова Любовь Андреевна</t>
  </si>
  <si>
    <t>Корж Анна Ивановна</t>
  </si>
  <si>
    <t>Титенко Елена Александровна</t>
  </si>
  <si>
    <t>Услуги Семис подписка на газету</t>
  </si>
  <si>
    <t>852</t>
  </si>
  <si>
    <t>Отправление почтовой корреспонденции</t>
  </si>
  <si>
    <t>региональная выплата</t>
  </si>
  <si>
    <t>Замены на период отпусков основной персонал</t>
  </si>
  <si>
    <t>Замены на период отпусков технический персонал</t>
  </si>
  <si>
    <t>на 2021 год</t>
  </si>
  <si>
    <t>Услуги СЕМИС (объявления, поздравления)</t>
  </si>
  <si>
    <t>244/346</t>
  </si>
  <si>
    <t>Почтовые конверты</t>
  </si>
  <si>
    <t>        Расчет (обоснование) расходов на оплату труда</t>
  </si>
  <si>
    <t>  1.  Расчеты (обоснования) выплат персоналу</t>
  </si>
  <si>
    <t>ТКО</t>
  </si>
  <si>
    <t>Таблетки DPD 1, для определения уровня Cl (10 шт.)  для тестера, Bayrol</t>
  </si>
  <si>
    <t>Поверка и настройка приборов учета</t>
  </si>
  <si>
    <t>Кран шаровый DN 100</t>
  </si>
  <si>
    <t>отделочные работы в чаше бассейна</t>
  </si>
  <si>
    <t>Программный доступ к офд</t>
  </si>
  <si>
    <t>Дианова НВ</t>
  </si>
  <si>
    <t>ФОТ на год (с учетом отпуска без сохранения зп и вакансий)</t>
  </si>
  <si>
    <t>по Сводному реестру</t>
  </si>
  <si>
    <t>глава по БК</t>
  </si>
  <si>
    <t>ИНН</t>
  </si>
  <si>
    <t>Единица измерения:</t>
  </si>
  <si>
    <t>Раздел 1. Поступления и выплаты</t>
  </si>
  <si>
    <t>текущий финансовый год</t>
  </si>
  <si>
    <t>субсидии</t>
  </si>
  <si>
    <t>поступления от приносящей доход деятельности</t>
  </si>
  <si>
    <t>первый год планового периода</t>
  </si>
  <si>
    <t>второй год планового периода</t>
  </si>
  <si>
    <t>за пределами планового периода</t>
  </si>
  <si>
    <t xml:space="preserve">Сумма, руб. </t>
  </si>
  <si>
    <t>0001</t>
  </si>
  <si>
    <t>Остаток средств на начало текущего финансового года</t>
  </si>
  <si>
    <t>Остаток средств на конец текущего финансового года</t>
  </si>
  <si>
    <t>х</t>
  </si>
  <si>
    <t>0002</t>
  </si>
  <si>
    <t>Доходы, всего:</t>
  </si>
  <si>
    <t>1000</t>
  </si>
  <si>
    <t>1200</t>
  </si>
  <si>
    <t>130</t>
  </si>
  <si>
    <t>доходы от оказания услуг, работ, компенсации затрат учреждений, всего (611+131)</t>
  </si>
  <si>
    <t>1210</t>
  </si>
  <si>
    <t>в том числе:
субсидии на финансовое обеспечение выполнения муниципального задания (611)</t>
  </si>
  <si>
    <t>1230</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</si>
  <si>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 (131)</t>
  </si>
  <si>
    <t>1500</t>
  </si>
  <si>
    <t>прочие доходы, всего (612)</t>
  </si>
  <si>
    <t>1510</t>
  </si>
  <si>
    <t>1520</t>
  </si>
  <si>
    <t>субсидии на осуществление капитальных вложений (310)</t>
  </si>
  <si>
    <t xml:space="preserve">в том числе:
целевые субсидии (Все, кроме 310)
</t>
  </si>
  <si>
    <t>Расходы, всего</t>
  </si>
  <si>
    <t>2000</t>
  </si>
  <si>
    <t>в том числе: на выплаты персоналу, всего</t>
  </si>
  <si>
    <t>2100</t>
  </si>
  <si>
    <t>Х</t>
  </si>
  <si>
    <t>2110</t>
  </si>
  <si>
    <t>в том числе: оплата труда</t>
  </si>
  <si>
    <t>прочие выплаты персоналу, в том числе компенсационного характера</t>
  </si>
  <si>
    <t>2120</t>
  </si>
  <si>
    <t>2130</t>
  </si>
  <si>
    <t>113</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</si>
  <si>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</si>
  <si>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</si>
  <si>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2140</t>
  </si>
  <si>
    <t>2141</t>
  </si>
  <si>
    <t>в том числе:
на выплаты по оплате труда</t>
  </si>
  <si>
    <t>на иные выплаты работникам</t>
  </si>
  <si>
    <t>2142</t>
  </si>
  <si>
    <t>уплата налогов, сборов и иных платежей, всего</t>
  </si>
  <si>
    <t>2300</t>
  </si>
  <si>
    <t>850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</si>
  <si>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</si>
  <si>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</si>
  <si>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</si>
  <si>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</si>
  <si>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853</t>
  </si>
  <si>
    <t xml:space="preserve">расходы на закупку товаров, работ, услуг, всего </t>
  </si>
  <si>
    <t>2600</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</si>
  <si>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</si>
  <si>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</si>
  <si>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</si>
  <si>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</si>
  <si>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</si>
  <si>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 xml:space="preserve">Выплаты, уменьшающие доход, всего </t>
  </si>
  <si>
    <t>3000</t>
  </si>
  <si>
    <t>100</t>
  </si>
  <si>
    <t xml:space="preserve">налог на добавленную стоимость </t>
  </si>
  <si>
    <t>3020</t>
  </si>
  <si>
    <t xml:space="preserve">Сумма руб. </t>
  </si>
  <si>
    <t>на  2020 год</t>
  </si>
  <si>
    <t>на 2022 год</t>
  </si>
  <si>
    <t>(текущий финансовый год)</t>
  </si>
  <si>
    <t>(первый год планового периода)</t>
  </si>
  <si>
    <t>(второй год планового периода)</t>
  </si>
  <si>
    <t>N п/п</t>
  </si>
  <si>
    <t xml:space="preserve">Выплаты на закупку товаров, работ, услуг, всего </t>
  </si>
  <si>
    <t>1.3</t>
  </si>
  <si>
    <t>1.4</t>
  </si>
  <si>
    <t>в том числе:за счет субсидий, предоставляемых на финансовое обеспечение выполнения государственного (муниципального) задания</t>
  </si>
  <si>
    <t>1.4.1</t>
  </si>
  <si>
    <t>в том числе: в соответствии с Федеральным законом № 44-ФЗ</t>
  </si>
  <si>
    <t>1.4.1.1</t>
  </si>
  <si>
    <t>за счет субсидий, предоставляемых на осуществление капитальных вложений &lt;14&gt;</t>
  </si>
  <si>
    <t>за счет субсидий, предоставляемых в соответствии с абзацем вторым пункта 1 статьи 78.1 Бюджетного кодекса Российской Федерации (иные цели)</t>
  </si>
  <si>
    <t>1.4.2</t>
  </si>
  <si>
    <t>1.4.2.1</t>
  </si>
  <si>
    <t>за счет прочих источников финансового обеспечения</t>
  </si>
  <si>
    <t>1.4.4.1</t>
  </si>
  <si>
    <t>1.4.3</t>
  </si>
  <si>
    <t>1.4.4</t>
  </si>
  <si>
    <t>в том числе по году начала закупки:</t>
  </si>
  <si>
    <r>
      <t xml:space="preserve">Итого по контрактам, планируемым к заключению в соответствующем финансовом году в соответствии с Федеральным </t>
    </r>
    <r>
      <rPr>
        <sz val="12"/>
        <color rgb="FF0000FF"/>
        <rFont val="Times New Roman"/>
        <family val="1"/>
        <charset val="204"/>
      </rPr>
      <t>законом</t>
    </r>
    <r>
      <rPr>
        <sz val="12"/>
        <color theme="1"/>
        <rFont val="Times New Roman"/>
        <family val="1"/>
        <charset val="204"/>
      </rPr>
      <t xml:space="preserve"> № 44-ФЗ, по  соответствующему году закупки </t>
    </r>
  </si>
  <si>
    <r>
      <t xml:space="preserve">по контрактам (договорам), заключенным до начала текущего финансового года с учетом требований Федерального </t>
    </r>
    <r>
      <rPr>
        <sz val="12"/>
        <color rgb="FF0000FF"/>
        <rFont val="Times New Roman"/>
        <family val="1"/>
        <charset val="204"/>
      </rPr>
      <t>закона</t>
    </r>
    <r>
      <rPr>
        <sz val="12"/>
        <color theme="1"/>
        <rFont val="Times New Roman"/>
        <family val="1"/>
        <charset val="204"/>
      </rPr>
      <t xml:space="preserve"> № 44-ФЗ и Федерального </t>
    </r>
    <r>
      <rPr>
        <sz val="12"/>
        <color rgb="FF0000FF"/>
        <rFont val="Times New Roman"/>
        <family val="1"/>
        <charset val="204"/>
      </rPr>
      <t>закона</t>
    </r>
    <r>
      <rPr>
        <sz val="12"/>
        <color theme="1"/>
        <rFont val="Times New Roman"/>
        <family val="1"/>
        <charset val="204"/>
      </rPr>
      <t xml:space="preserve"> № 223-ФЗ </t>
    </r>
  </si>
  <si>
    <r>
      <t xml:space="preserve">по контрактам (договорам), планируемым к заключению в соответствующем финансовом году с учетом требований Федерального </t>
    </r>
    <r>
      <rPr>
        <sz val="12"/>
        <color rgb="FF0000FF"/>
        <rFont val="Times New Roman"/>
        <family val="1"/>
        <charset val="204"/>
      </rPr>
      <t>закона</t>
    </r>
    <r>
      <rPr>
        <sz val="12"/>
        <color theme="1"/>
        <rFont val="Times New Roman"/>
        <family val="1"/>
        <charset val="204"/>
      </rPr>
      <t xml:space="preserve"> № 44-ФЗ и Федерального </t>
    </r>
    <r>
      <rPr>
        <sz val="12"/>
        <color rgb="FF0000FF"/>
        <rFont val="Times New Roman"/>
        <family val="1"/>
        <charset val="204"/>
      </rPr>
      <t>закона</t>
    </r>
    <r>
      <rPr>
        <sz val="12"/>
        <color theme="1"/>
        <rFont val="Times New Roman"/>
        <family val="1"/>
        <charset val="204"/>
      </rPr>
      <t xml:space="preserve"> № 223-ФЗ </t>
    </r>
  </si>
  <si>
    <t>Раздел 2. Сведения по выплатам на закупки товаров, работ, услуг</t>
  </si>
  <si>
    <t>СОГЛАСОВАНО</t>
  </si>
  <si>
    <t xml:space="preserve">                                        (должность)                                                     (подпись)                           (расшифровка подписи)</t>
  </si>
  <si>
    <t>Раздел 3. Обоснования (расчеты) плановых показателей
поступлений и выплат</t>
  </si>
  <si>
    <t xml:space="preserve">3.2. Обоснование (расчет) плановых показателей поступлений доходов по статье 130 "Доходы от оказания услуг, работ, компенсации затрат учреждений".
3.2.1. Обоснование (расчет) плановых показателей поступлений доходов по статье 130 "Доходы от оказания услуг, работ, компенсации затрат учреждений".
</t>
  </si>
  <si>
    <t>Сумма, руб.</t>
  </si>
  <si>
    <t>Задолженность по доходам (дебиторская задолженность по доходам) на начало года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</si>
  <si>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</si>
  <si>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</si>
  <si>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</si>
  <si>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</si>
  <si>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Задолженность по доходам (дебиторская задолженность по доходам) на конец года</t>
  </si>
  <si>
    <t>Планируемые поступления доходов от оказания услуг, компенсации затрат учреждения (с. 0100 - с. 0200 + с. 0300 - с. 0400 + с. 0500)</t>
  </si>
  <si>
    <t>на 2020 г.</t>
  </si>
  <si>
    <t>на 2021 г.</t>
  </si>
  <si>
    <t>на 2022 г.</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</si>
  <si>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</si>
  <si>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</si>
  <si>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</si>
  <si>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</si>
  <si>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</si>
  <si>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3.4.1. Обоснование (расчет) плановых показателей поступлений доходов по статье 180 "Прочие доходы".</t>
  </si>
  <si>
    <t>Доходы прочие, всего</t>
  </si>
  <si>
    <t>целевые субсидии (612)</t>
  </si>
  <si>
    <t>3.6. Обоснование (расчет) плановых показателей по выплатам по оплате труда работников учреждения.
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</si>
  <si>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</si>
  <si>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</si>
  <si>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</si>
  <si>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</si>
  <si>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</si>
  <si>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Планируемые выплаты на оплату труда (с. 0100 - с. 0200 + с. 0300 - с. 0400 + с. 0500)</t>
  </si>
  <si>
    <t>3.6.2. Расчет фонда оплаты труда.
3.6.3. Расчет фонда оплаты труда на 2020 г. (текущий финансовый год) (заполняется раздельно по источникам финансового обеспечения).</t>
  </si>
  <si>
    <t>Должность, группа должностей</t>
  </si>
  <si>
    <t>Среднемесячный размер оплаты труда на одного работника, руб.</t>
  </si>
  <si>
    <t>Фонд оплаты труда в год (гр. 3 x гр. 4 x 12)</t>
  </si>
  <si>
    <t>всего (гр. 5 + гр. 6 + гр. 7 + гр. 9 + гр. 11)</t>
  </si>
  <si>
    <t>по выплатам компенсационного характера</t>
  </si>
  <si>
    <t>северная надбавка</t>
  </si>
  <si>
    <t>районный коэффициент</t>
  </si>
  <si>
    <t>сумма (гр. 5 + гр. 6 + гр. 7) x гр. 8 / 100</t>
  </si>
  <si>
    <t>сумма (гр. 5 + гр. 6 + гр. 7) x гр. 10 / 100</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</si>
  <si>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</si>
  <si>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</si>
  <si>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3.7. Обоснование (расчет) плановых показателей по выплатам на страховые взносы по обязательному социальному страхованию.
3.7.1. Обоснование (расчет) плановых показателей по выплатам на страховые взносы по обязательному социальному страхованию (заполняется раздельно по источникам финансового обеспечения).</t>
  </si>
  <si>
    <t>Страховые взносы на обязательное социальное страхование</t>
  </si>
  <si>
    <t>Планируемые выплаты на страховые взносы на обязательное социальное страхование</t>
  </si>
  <si>
    <t xml:space="preserve">3.7.2. Расчет страховых взносов по обязательному социальному страхованию (заполняется раздельно по источникам финансового обеспечения).
</t>
  </si>
  <si>
    <t>Размер базы для начисления страховых взносов, руб.</t>
  </si>
  <si>
    <t>Сумма взноса, руб.</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</si>
  <si>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</si>
  <si>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</si>
  <si>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t>
  </si>
  <si>
    <t>страховые взносы на обязательное медицинское страхование по ставке 5,1%</t>
  </si>
  <si>
    <t>3.8. Обоснование (расчет) плановых показателей по выплатам компенсационного характера персоналу, за исключением фонда оплаты труда.
3.8.1. Обоснование (расчет) выплат персоналу при направлении в служебные командировки (заполняется раздельно по источникам финансового обеспечения).</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</si>
  <si>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</si>
  <si>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</si>
  <si>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</si>
  <si>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</si>
  <si>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</si>
  <si>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</si>
  <si>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</si>
  <si>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</si>
  <si>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</si>
  <si>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</si>
  <si>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</si>
  <si>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3.13. Обоснование (расчет) плановых показателей по расходам на закупки товаров, работ и услуг.
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</si>
  <si>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</si>
  <si>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</si>
  <si>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</si>
  <si>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</si>
  <si>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транспортные услуги</t>
  </si>
  <si>
    <t>коммунальные услуги</t>
  </si>
  <si>
    <t>аренда имущества</t>
  </si>
  <si>
    <t>содержание имущества</t>
  </si>
  <si>
    <t>обязательное страхование</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</si>
  <si>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</si>
  <si>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</si>
  <si>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приобретение объектов движимого имущества</t>
  </si>
  <si>
    <t>приобретение материальных запасов</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</si>
  <si>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</si>
  <si>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</si>
  <si>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r>
      <t>Планируемые выплаты на закупку товаров, работ и услуг (</t>
    </r>
    <r>
      <rPr>
        <sz val="12"/>
        <color rgb="FF0000FF"/>
        <rFont val="Times New Roman"/>
        <family val="1"/>
        <charset val="204"/>
      </rPr>
      <t>с. 0100</t>
    </r>
    <r>
      <rPr>
        <sz val="12"/>
        <color theme="1"/>
        <rFont val="Times New Roman"/>
        <family val="1"/>
        <charset val="204"/>
      </rPr>
      <t xml:space="preserve"> - </t>
    </r>
    <r>
      <rPr>
        <sz val="12"/>
        <color rgb="FF0000FF"/>
        <rFont val="Times New Roman"/>
        <family val="1"/>
        <charset val="204"/>
      </rPr>
      <t>с. 0200</t>
    </r>
    <r>
      <rPr>
        <sz val="12"/>
        <color theme="1"/>
        <rFont val="Times New Roman"/>
        <family val="1"/>
        <charset val="204"/>
      </rPr>
      <t xml:space="preserve"> + </t>
    </r>
    <r>
      <rPr>
        <sz val="12"/>
        <color rgb="FF0000FF"/>
        <rFont val="Times New Roman"/>
        <family val="1"/>
        <charset val="204"/>
      </rPr>
      <t>с. 0300</t>
    </r>
    <r>
      <rPr>
        <sz val="12"/>
        <color theme="1"/>
        <rFont val="Times New Roman"/>
        <family val="1"/>
        <charset val="204"/>
      </rPr>
      <t xml:space="preserve"> - </t>
    </r>
    <r>
      <rPr>
        <sz val="12"/>
        <color rgb="FF0000FF"/>
        <rFont val="Times New Roman"/>
        <family val="1"/>
        <charset val="204"/>
      </rPr>
      <t>с. 0400</t>
    </r>
    <r>
      <rPr>
        <sz val="12"/>
        <color theme="1"/>
        <rFont val="Times New Roman"/>
        <family val="1"/>
        <charset val="204"/>
      </rPr>
      <t xml:space="preserve"> + </t>
    </r>
    <r>
      <rPr>
        <sz val="12"/>
        <color rgb="FF0000FF"/>
        <rFont val="Times New Roman"/>
        <family val="1"/>
        <charset val="204"/>
      </rPr>
      <t>с. 0500</t>
    </r>
    <r>
      <rPr>
        <sz val="12"/>
        <color theme="1"/>
        <rFont val="Times New Roman"/>
        <family val="1"/>
        <charset val="204"/>
      </rPr>
      <t>)</t>
    </r>
  </si>
  <si>
    <t>3.13.2. Обоснование (расчет) плановых показателей по расходам на услуги связи</t>
  </si>
  <si>
    <t>Количество платежей в год</t>
  </si>
  <si>
    <t>Стоимость за единицу, руб.</t>
  </si>
  <si>
    <t>3.13.3. Обоснование (расчет) плановых показателей по расходам на транспортные услуги.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</si>
  <si>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</si>
  <si>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</si>
  <si>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</si>
  <si>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</si>
  <si>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 xml:space="preserve">3.13.6. Обоснование (расчет) плановых показателей по расходам на содержание имущества.
</t>
  </si>
  <si>
    <t>3.13.8. Обоснование (расчет) плановых показателей по расходам на повышение квалификации (профессиональную переподготовку).</t>
  </si>
  <si>
    <t>Количество работников, направляемых на повышение квалификации (переподготовку), чел.</t>
  </si>
  <si>
    <t>Цена обучения одного работника, руб.</t>
  </si>
  <si>
    <t>Количество номеров, минут (ед.)</t>
  </si>
  <si>
    <t>Здание МБУ "Бассейн "Аяхта"</t>
  </si>
  <si>
    <t>прилегающая территория</t>
  </si>
  <si>
    <t>приборы учета</t>
  </si>
  <si>
    <t>3.9. Обоснование (расчет) плановых показателей по выплатам на социальное обеспечение и иные выплаты населению</t>
  </si>
  <si>
    <t>Размер одной выплаты, руб.</t>
  </si>
  <si>
    <t>Общая сумма выплат, руб.</t>
  </si>
  <si>
    <t>Оплата стоимости проезда и провоза багажа к мету отдыха и обратно</t>
  </si>
  <si>
    <t>количество</t>
  </si>
  <si>
    <t>стоимость</t>
  </si>
  <si>
    <t>6</t>
  </si>
  <si>
    <t>11</t>
  </si>
  <si>
    <t>459 1102 0910188190</t>
  </si>
  <si>
    <t>459 1102 0910188180</t>
  </si>
  <si>
    <t>массажное кресло</t>
  </si>
  <si>
    <t>3.13.10. Обоснование (расчет) плановых показателей по увеличению стоимости основных средств</t>
  </si>
  <si>
    <t xml:space="preserve">3.13.11. Обоснование (расчет) плановых показателей по расходам на приобретение материальных запасов </t>
  </si>
  <si>
    <t>459 1102 0910188170</t>
  </si>
  <si>
    <t>3.13.9. Обоснование (расчет) плановых показателей по прочим расходам</t>
  </si>
  <si>
    <t>теплосети, энергоустановки</t>
  </si>
  <si>
    <t>459 1102 0910188161</t>
  </si>
  <si>
    <t>459 1102 0910188150</t>
  </si>
  <si>
    <t>459 1102 0910188130</t>
  </si>
  <si>
    <t>459 1102 0910188120</t>
  </si>
  <si>
    <t>459 1102 0910188110</t>
  </si>
  <si>
    <t>Количество человек для выплаты ( с учетом иждивенцев)</t>
  </si>
  <si>
    <t xml:space="preserve">                                                                           Приложение № 4                                                                                                            к распоряжению Управления образования администрации Северо-Енисейского района </t>
  </si>
  <si>
    <t>на 2020 год и плановый период 2021 и 2022 годов</t>
  </si>
  <si>
    <t xml:space="preserve">Управления образования администрации Северо-Енисейского района </t>
  </si>
  <si>
    <t>Муниципальное бюджетное общеобразовательное учреждение "Брянковская средняя школа №5"</t>
  </si>
  <si>
    <t>2434000991</t>
  </si>
  <si>
    <t>243401001</t>
  </si>
  <si>
    <t>Н.С.Храмцова</t>
  </si>
  <si>
    <t>Утверждаю</t>
  </si>
  <si>
    <t>Орган,осуществляющий фукции полномочия учредителя (уполномоченный орган)</t>
  </si>
  <si>
    <t>Социальные и иные выплаты населению,всего</t>
  </si>
  <si>
    <t xml:space="preserve">из них пособия по социальной помощи населения </t>
  </si>
  <si>
    <t>2200</t>
  </si>
  <si>
    <t>300</t>
  </si>
  <si>
    <t>2211</t>
  </si>
  <si>
    <t>321</t>
  </si>
  <si>
    <t>в том числе: доходы,получаемые в виде арендной либо иной платы за передачу в возмездное пользование муниципального имущества</t>
  </si>
  <si>
    <t>1110</t>
  </si>
  <si>
    <t>120</t>
  </si>
  <si>
    <t xml:space="preserve">     Исполнитель  экономист                      </t>
  </si>
  <si>
    <t>44407010240010490611</t>
  </si>
  <si>
    <t xml:space="preserve">Код видов расходов </t>
  </si>
  <si>
    <t>111 Фонд оплатытруда учреждений,119-Начисления на оплату труда</t>
  </si>
  <si>
    <t xml:space="preserve">Источник финансового обеспечения </t>
  </si>
  <si>
    <t xml:space="preserve">краевой бюджет </t>
  </si>
  <si>
    <t xml:space="preserve">111-Оплата труда </t>
  </si>
  <si>
    <t xml:space="preserve">119-Начисления на оплату труда </t>
  </si>
  <si>
    <t>7. Расчет (обоснование) расходов на закупку товаров, работ, услуг</t>
  </si>
  <si>
    <t>44407020240074080611</t>
  </si>
  <si>
    <t>244 "Прочая закупка товаров, работ и услуг для обеспечения государственных (муниципальных) нужд"</t>
  </si>
  <si>
    <t>краевой бюджет</t>
  </si>
  <si>
    <t>7.1. Расчет (обоснование) расходов на оплату услуг связи</t>
  </si>
  <si>
    <t xml:space="preserve">Наименование расходов </t>
  </si>
  <si>
    <t xml:space="preserve">Количество номеров </t>
  </si>
  <si>
    <t xml:space="preserve">Стоимость за единицу, руб </t>
  </si>
  <si>
    <t>Абонентская плата (местная телефонная связь)</t>
  </si>
  <si>
    <t>7.2. Расчет (обоснование) расходов на оплату прочих работ, услуг</t>
  </si>
  <si>
    <t>Периодические медицинские осмотры</t>
  </si>
  <si>
    <t>Услуги по обучению на курсах повышения квалификации</t>
  </si>
  <si>
    <t>7.3.1.  Расчет (обоснование) расходов на приобретение материальных запасов</t>
  </si>
  <si>
    <t>Количество</t>
  </si>
  <si>
    <t>Сумма, руб (гр.2 х гр.3)</t>
  </si>
  <si>
    <t>Бумага потребительская 250л</t>
  </si>
  <si>
    <t>Картон цветной</t>
  </si>
  <si>
    <t>Бумага А4 д/принтера 500л</t>
  </si>
  <si>
    <t xml:space="preserve">Маркеры для белой доски </t>
  </si>
  <si>
    <t>Акриловые краски 12 цв.</t>
  </si>
  <si>
    <t>Папка с файлами 60-80</t>
  </si>
  <si>
    <t>Бумага д/принтера цветная (яркая)</t>
  </si>
  <si>
    <t>Плакаты по Гражданской обороне</t>
  </si>
  <si>
    <t>Рамки  с орг-стеклом А-4 пластиковые</t>
  </si>
  <si>
    <t>07 02 0240074090 611</t>
  </si>
  <si>
    <t xml:space="preserve">266 " Оплата листа временной нетрудоспособности за первые 3 дня за счет средств работадателя </t>
  </si>
  <si>
    <t>КВР 111 КОСГУ 266 "Оплата труда"</t>
  </si>
  <si>
    <t>1.2. Расчет (обоснование) выплат персоналу при направлении в служебные командировки</t>
  </si>
  <si>
    <t>44407020240074090611</t>
  </si>
  <si>
    <t>112 "Иные выплаты персоналу учреждений, за исключением фонда оплаты труда"</t>
  </si>
  <si>
    <t>Количество дней</t>
  </si>
  <si>
    <t>суточные</t>
  </si>
  <si>
    <t>проезд</t>
  </si>
  <si>
    <t>проживание</t>
  </si>
  <si>
    <t>6. Расчет (обоснование) расходов на закупку товаров, работ, услуг</t>
  </si>
  <si>
    <t>6.1. Расчет (обоснование) расходов на оплату услуг связи</t>
  </si>
  <si>
    <t>Междугородние соединения</t>
  </si>
  <si>
    <t>6.2. Расчет (обоснование) расходов на оплату транспортных услуг</t>
  </si>
  <si>
    <t>Цена услуги перевозки, руб</t>
  </si>
  <si>
    <t>Доставка груза</t>
  </si>
  <si>
    <t>6.3. Расчет (обоснование) расходов на оплату прочих работ, услуг</t>
  </si>
  <si>
    <t>Подписка на периодические издания</t>
  </si>
  <si>
    <t>Приобретение программного обеспечения</t>
  </si>
  <si>
    <t>Приобретение бланков строгой отчетности</t>
  </si>
  <si>
    <t>6.4. Расчет (обоснование) расходов на приобретение основных средств, материальных запасов</t>
  </si>
  <si>
    <t>6.4.1.  Расчет (обоснование) расходов на приобретение материальных запасов</t>
  </si>
  <si>
    <t xml:space="preserve">Бумага для печати </t>
  </si>
  <si>
    <t>Картриджи</t>
  </si>
  <si>
    <t>07 02 0240075640 611</t>
  </si>
  <si>
    <t>44407020240075640611</t>
  </si>
  <si>
    <t>проживание (без предоставления подтверждающих документов)</t>
  </si>
  <si>
    <t>5. Расчет (обоснование) расходов на закупку товаров, работ, услуг</t>
  </si>
  <si>
    <t>5.1. Расчет (обоснование) расходов на оплату услуг связи</t>
  </si>
  <si>
    <t>Интернет</t>
  </si>
  <si>
    <t>5.3.2.  Расчет (обоснование) расходов на приобретение основных средств</t>
  </si>
  <si>
    <t>Учебники (1-4 классы)</t>
  </si>
  <si>
    <t>Учебники (5-9 классы)</t>
  </si>
  <si>
    <t>Учебники (10-11 классы)</t>
  </si>
  <si>
    <t>5.3.1.  Расчет (обоснование) расходов на приобретение материальных запасов</t>
  </si>
  <si>
    <t>картридж SAMSUNG SCX-4300</t>
  </si>
  <si>
    <t>картридж SAMSUNG SCX-4220</t>
  </si>
  <si>
    <t>картридж XEROX WORKCENTRE 3119</t>
  </si>
  <si>
    <t xml:space="preserve"> картридж для лазерного принтера  brother HL-5040</t>
  </si>
  <si>
    <t>картридж для XEROX phaser 6125 C CYAN</t>
  </si>
  <si>
    <t>бумага д/принтера цветная (яркая)</t>
  </si>
  <si>
    <t>тетрадь клетка 18л.</t>
  </si>
  <si>
    <t>тетрадь общая 48л. Клетка</t>
  </si>
  <si>
    <t>бумага цветная самокл. 10цв. А-4</t>
  </si>
  <si>
    <t>бумага самоклеющая в рулонах    5 цветов</t>
  </si>
  <si>
    <t>бумага А4 д/принтера 500л</t>
  </si>
  <si>
    <t>журнал классный 1-4 кл.</t>
  </si>
  <si>
    <t>журнал классный 5-9 кл.</t>
  </si>
  <si>
    <t xml:space="preserve">журнал классный 10-11 кл </t>
  </si>
  <si>
    <t xml:space="preserve">журнал дополнительного образования </t>
  </si>
  <si>
    <t xml:space="preserve">журнал факультативных занятий </t>
  </si>
  <si>
    <t>Папка с файлами 30-40</t>
  </si>
  <si>
    <t xml:space="preserve">папка-регистратор д/хранения документов </t>
  </si>
  <si>
    <t xml:space="preserve">папка с файлама 60-80 </t>
  </si>
  <si>
    <t xml:space="preserve">магниты д/магнитной доски </t>
  </si>
  <si>
    <t>Скрепки канцелярские</t>
  </si>
  <si>
    <t>рамки деревян. со стеклом А-4</t>
  </si>
  <si>
    <t>Скобы  для степлера №10</t>
  </si>
  <si>
    <t>картридж Самсунг MLT-D101S для принтера SAMSUNG ML-2160</t>
  </si>
  <si>
    <t>картридж для XEROX phaser 6125 Y YELLOW</t>
  </si>
  <si>
    <t>Кактридж для hp laser Jet Pro MFPM 125 ra</t>
  </si>
  <si>
    <t>Клей ПВА</t>
  </si>
  <si>
    <t>8.2.2.  Расчет (обоснование) расходов на приобретение основных средств</t>
  </si>
  <si>
    <t>44407020240075880612</t>
  </si>
  <si>
    <t>Столики трапеция на регулируемых ножках</t>
  </si>
  <si>
    <t>стул детский</t>
  </si>
  <si>
    <t>07 02 0240188100 611</t>
  </si>
  <si>
    <t>1.3  Расчет (обоснование) выплат персонала по уходу за ребенком</t>
  </si>
  <si>
    <t>44407020240188100611</t>
  </si>
  <si>
    <t>местный бюджет</t>
  </si>
  <si>
    <t>Количество выплат в год на одного работника</t>
  </si>
  <si>
    <t>компенсационные выплаты по уходу за ребенком до достижения им возраста 3-х лет</t>
  </si>
  <si>
    <t>44407020240188101611</t>
  </si>
  <si>
    <t>9. Расчет (обоснование) расходов на закупку товаров, работ, услуг</t>
  </si>
  <si>
    <t>9.1. Расчет (обоснование) расходов на оплату услуг связи</t>
  </si>
  <si>
    <t>44407020240188130611</t>
  </si>
  <si>
    <t>Конверты маркированные</t>
  </si>
  <si>
    <t>9.2. Расчет (обоснование) расходов на оплату транспортных услуг</t>
  </si>
  <si>
    <t>44407020240188140611</t>
  </si>
  <si>
    <t>Перевозка учащихся</t>
  </si>
  <si>
    <t>Спецрейсы</t>
  </si>
  <si>
    <t>9.3. Расчет (обоснование) расходов на оплату коммунальных услуг</t>
  </si>
  <si>
    <t>44407020240188150611</t>
  </si>
  <si>
    <t>Сумма, руб (гр.4*гр.5*гр.6)</t>
  </si>
  <si>
    <t xml:space="preserve">Электроснабжение, тыс.кВт.ч., </t>
  </si>
  <si>
    <t>Тепловая энергия, Гкал.,</t>
  </si>
  <si>
    <t xml:space="preserve">Водоснабжение, м.куб., </t>
  </si>
  <si>
    <t xml:space="preserve">Откачка и вывоз бытовых стоков, </t>
  </si>
  <si>
    <t>9.4. Расчет (обоснование) расходов на оплату работ, услуг по содержанию имущества</t>
  </si>
  <si>
    <t>44407020240188161611</t>
  </si>
  <si>
    <t>Количество (объем) работ (услуг)</t>
  </si>
  <si>
    <t>Аварийно диспетчерское обслуживание (чел.час)</t>
  </si>
  <si>
    <t>Поверка тепловодосчетчиков (сумма договора в год)</t>
  </si>
  <si>
    <t>Промывка и опрессовка системы отопления (сумма договора в год)</t>
  </si>
  <si>
    <t xml:space="preserve">Уборка территории от снега, </t>
  </si>
  <si>
    <t>Обслуживание охранно-пожарной сигнализации,</t>
  </si>
  <si>
    <t xml:space="preserve">Дератизация и дезинфекция , </t>
  </si>
  <si>
    <t xml:space="preserve">Годовое техобслуживание приборов учета тепловодоснабжения, </t>
  </si>
  <si>
    <t xml:space="preserve">Обслуживание технических средств охраны (тревожная кнопка), </t>
  </si>
  <si>
    <t>9.5. Расчет (обоснование) расходов на оплату прочих работ, услуг</t>
  </si>
  <si>
    <t>44407020240188170611</t>
  </si>
  <si>
    <t>Демеркуризация отработанных ламп</t>
  </si>
  <si>
    <t>Экспертиза огнезащитной обрабоки (сумма договора в год)</t>
  </si>
  <si>
    <t>Аттестация рабочих мест</t>
  </si>
  <si>
    <t>Проведение испытаний устройств заземления и изоляции электросетей (сумма договора в год)</t>
  </si>
  <si>
    <t>Испытание диэлектрических бот и перчаток(сумма договора в год)</t>
  </si>
  <si>
    <t>Замена технического паспорта</t>
  </si>
  <si>
    <t>Контроль качества текстильных материалов и деревянных конструкций</t>
  </si>
  <si>
    <t>Услуги Семис</t>
  </si>
  <si>
    <t xml:space="preserve">Обучение персонала по программам: "Тепловые установки и тепловые сети", "Безопасная эксплуатация электроустановок", </t>
  </si>
  <si>
    <t xml:space="preserve">Услуги Центра гигиены и эпидемиологии (сумма договора в год), </t>
  </si>
  <si>
    <t xml:space="preserve">Обслуживание системы видеонаблюдения, </t>
  </si>
  <si>
    <t xml:space="preserve">Накладные расходы по организации питания учащихся </t>
  </si>
  <si>
    <t xml:space="preserve">Организация питания воспитанников дошкольных групп </t>
  </si>
  <si>
    <t>3. Расчет (обоснование) расходов на уплату налогов, сборов и иных платежей</t>
  </si>
  <si>
    <t>853 "Уплата иных платежей"</t>
  </si>
  <si>
    <t>Налоговая база, руб</t>
  </si>
  <si>
    <t>Сумма исчисленного налога, подлежащего уплате, руб (гр.3*гр.4/100)</t>
  </si>
  <si>
    <t>Плата за зягрязнение окружющей среды</t>
  </si>
  <si>
    <t>4. Расчет (обоснование) прочих расходов (кроме расходов на закупку товаров, работ, услуг)</t>
  </si>
  <si>
    <t>852 "Уплата прочих налогов, сборов"</t>
  </si>
  <si>
    <t>Размер одной выплаты, руб</t>
  </si>
  <si>
    <t>Количество выплат в год</t>
  </si>
  <si>
    <t>Общая сумма выплат, руб (гр.3*гр.4)</t>
  </si>
  <si>
    <t>Государственная пошлина</t>
  </si>
  <si>
    <t xml:space="preserve">"Брянковская средняя школа №5" </t>
  </si>
  <si>
    <t>МЕСТНЫЙ БЮДЖЕТ       444 0702 0240188190 244                   2020г</t>
  </si>
  <si>
    <t>наименование</t>
  </si>
  <si>
    <t>Ед. изм</t>
  </si>
  <si>
    <t xml:space="preserve">кол-во </t>
  </si>
  <si>
    <t>Цена</t>
  </si>
  <si>
    <t>Мыло хозяйственное    80г.</t>
  </si>
  <si>
    <t>шт</t>
  </si>
  <si>
    <t>Мыло туалетное детское  100г.</t>
  </si>
  <si>
    <t>Порошок стиральный детский  450г. Автомат</t>
  </si>
  <si>
    <t>п</t>
  </si>
  <si>
    <t>Дезинфицирующее средство "Аквидез",Ника</t>
  </si>
  <si>
    <t>Чистящее средство "Пемолюкс"</t>
  </si>
  <si>
    <t>Средство  для  мытья  окон</t>
  </si>
  <si>
    <t xml:space="preserve">доводчик для дверей </t>
  </si>
  <si>
    <t xml:space="preserve">Перчатки резиновые хозяйственные </t>
  </si>
  <si>
    <t>пар</t>
  </si>
  <si>
    <t>Полотно техническое ХПП</t>
  </si>
  <si>
    <t xml:space="preserve">бумага туалетная </t>
  </si>
  <si>
    <t>тряпка с микрофиброй для шк. доски</t>
  </si>
  <si>
    <t>Доместос</t>
  </si>
  <si>
    <t>батарейки  DURACELL  Turbo MAX AA</t>
  </si>
  <si>
    <t xml:space="preserve"> шт</t>
  </si>
  <si>
    <t xml:space="preserve">Клей момент </t>
  </si>
  <si>
    <t>Лампа ДРВ 250HWL 250W</t>
  </si>
  <si>
    <t>лампа энергосберегающая (холодный цвет) высота не более 120мм</t>
  </si>
  <si>
    <t>Смеситель для кухни  G-LAUF</t>
  </si>
  <si>
    <t xml:space="preserve">шт </t>
  </si>
  <si>
    <t xml:space="preserve">Смеситель для ванны G-LAUF двертор поворотный </t>
  </si>
  <si>
    <t>мешки для сбор мусора 30/30</t>
  </si>
  <si>
    <t>наб</t>
  </si>
  <si>
    <t>МЕШКИ для мусора универсальный 120л</t>
  </si>
  <si>
    <t>уп</t>
  </si>
  <si>
    <t xml:space="preserve">изолента </t>
  </si>
  <si>
    <t>итого</t>
  </si>
  <si>
    <t xml:space="preserve">                                                                                               Итого</t>
  </si>
  <si>
    <t xml:space="preserve">краска акриловая  универсальная противопожарная моющаяся (белоснежная)для кабинетов и коридоров </t>
  </si>
  <si>
    <t>кг</t>
  </si>
  <si>
    <t>эмаль белая</t>
  </si>
  <si>
    <t>эмаль желтая</t>
  </si>
  <si>
    <t>эмаль желто-коричневая</t>
  </si>
  <si>
    <t>эмаль голубая</t>
  </si>
  <si>
    <t>эмаль салатная</t>
  </si>
  <si>
    <t>эмаль красная</t>
  </si>
  <si>
    <t>эмаль зеленая (забор)</t>
  </si>
  <si>
    <t>валики меховые</t>
  </si>
  <si>
    <t>кисти</t>
  </si>
  <si>
    <t xml:space="preserve">кисть для радиатора </t>
  </si>
  <si>
    <t>колер краска "ТЕКС" тон №13(шоколадно-коричневый) 0,75л.</t>
  </si>
  <si>
    <t>КРЕПС ВЛ белый шпаклевочный состав для наружных и внутренних работ 20кг</t>
  </si>
  <si>
    <t>меш.</t>
  </si>
  <si>
    <t>Клей для кафельной плитки</t>
  </si>
  <si>
    <t>Антисептик противогрибковое средство для бетонных стен</t>
  </si>
  <si>
    <t xml:space="preserve">кг. </t>
  </si>
  <si>
    <t xml:space="preserve">Краска  акриловая моющая для потолков </t>
  </si>
  <si>
    <t xml:space="preserve">краска полиуретановая Полимерстоун  для пола в пищеблоке </t>
  </si>
  <si>
    <t xml:space="preserve">порог стыковочный </t>
  </si>
  <si>
    <t xml:space="preserve">Костюм для уборщицы на молнии женский " Классика"   размеры:        48р/50р - 3 шт , 52р/54- 6 шт, 56р/58р - 3 шт.  Цвет - синий-бирюзовый </t>
  </si>
  <si>
    <t xml:space="preserve">валенки  размер: 43р - 1шт </t>
  </si>
  <si>
    <t>ВСЕГО</t>
  </si>
  <si>
    <t>Приобретение комплектов технологического оборудования для пищеблоков</t>
  </si>
  <si>
    <t>44407020210080010611</t>
  </si>
  <si>
    <t>11.1. Расчет (обоснование) расходов на оплату работ, услуг по содержанию имущества</t>
  </si>
  <si>
    <t>44407020210080040612</t>
  </si>
  <si>
    <t>Текущий ремонт (локальный сметный расчет)</t>
  </si>
  <si>
    <t>44410030230075660612</t>
  </si>
  <si>
    <t xml:space="preserve">Организация питания учащихся </t>
  </si>
  <si>
    <t>10.1. Расчет (обоснование) расходов на оплату прочих работ, услуг</t>
  </si>
  <si>
    <t>44410030230080140612</t>
  </si>
  <si>
    <t>10.2. Расчет (обоснование) расходов на приобретение основных средств, материальных запасов</t>
  </si>
  <si>
    <t>7.2.1.  Расчет (обоснование) расходов на приобретение материальных запасов</t>
  </si>
  <si>
    <t>44410030230080410612</t>
  </si>
  <si>
    <t>Школьное молоко</t>
  </si>
  <si>
    <t>44407020240074080612</t>
  </si>
  <si>
    <t>Количество человек</t>
  </si>
  <si>
    <t>Средний размер выплаты, руб</t>
  </si>
  <si>
    <t>компенсация расходов на оплату стоимости проезда к месту проведения отпуска и обратно</t>
  </si>
  <si>
    <t xml:space="preserve">                       АУП -д/сад       444 0701 0240074080 244                                                            2020г</t>
  </si>
  <si>
    <t>цена</t>
  </si>
  <si>
    <t>шкаф для одежды глубокий ШМ50.5  740х520х2050  (ольха)</t>
  </si>
  <si>
    <t xml:space="preserve">Муниципальное бюджетное образовательное учреждение </t>
  </si>
  <si>
    <t>"Брянковская средняя школа №5"</t>
  </si>
  <si>
    <t>1.4  Расчет (обоснование) выплат гарантий и компенсаций</t>
  </si>
  <si>
    <t>44407020240074090612</t>
  </si>
  <si>
    <t>2. Расчеты (обоснования) расходов на социальные и иные выплаты населению</t>
  </si>
  <si>
    <t xml:space="preserve">Код целевой статьи расходов     </t>
  </si>
  <si>
    <t>44410040240075560612</t>
  </si>
  <si>
    <t xml:space="preserve">321 " Пособия, компенсации и иные социальные выплаты
гражданам, кроме публичных нормативных обязательств"
</t>
  </si>
  <si>
    <t>№                                   п/п</t>
  </si>
  <si>
    <t xml:space="preserve">Наименование показателя </t>
  </si>
  <si>
    <t xml:space="preserve">Размер одной выплаты, руб </t>
  </si>
  <si>
    <t xml:space="preserve">Количество выплат в год </t>
  </si>
  <si>
    <t>Компенсация части родительской платы</t>
  </si>
  <si>
    <t>2.1. Расчет (обоснование) расходов на оплату прочих работ, услуг</t>
  </si>
  <si>
    <t xml:space="preserve">Доставка компенсации </t>
  </si>
  <si>
    <t>444 07 02 0240075630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</si>
  <si>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</si>
  <si>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 xml:space="preserve">                               КРАЕВОЙ БЮДЖЕТ      школа     444   0702 0240075640 244                                       2020г</t>
  </si>
  <si>
    <t>доска настенная школьная 3-х элементная зеленая комбинир. 3000х1000</t>
  </si>
  <si>
    <t>доска поворотная передвижная комбинир. 1500х1000</t>
  </si>
  <si>
    <t xml:space="preserve">проектор </t>
  </si>
  <si>
    <t>мяч  волейбольный  Mikasa SKV5 1|50</t>
  </si>
  <si>
    <t>КРАЕВОЙ БЮДЖЕТ      д/сад       444 0701 0240075880 244                            2020г</t>
  </si>
  <si>
    <t>стол планшет для рисования песком с белой подсветкой</t>
  </si>
  <si>
    <t xml:space="preserve">Итого </t>
  </si>
  <si>
    <t>44407020240188110612</t>
  </si>
  <si>
    <t>компенсация расходов на оплату медосмотра пр трудоустройстве</t>
  </si>
  <si>
    <t xml:space="preserve">1.4.         Расчет (обоснование)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t>
  </si>
  <si>
    <t>119 "Взносы по обязательному социальному страхованию на выплаты по оплате труда работников и иные выплаты работникам учреждений"</t>
  </si>
  <si>
    <r>
      <t>Страховые взносы в Пенсионный фонд Российской Федерации, всего</t>
    </r>
    <r>
      <rPr>
        <b/>
        <sz val="11"/>
        <color theme="1"/>
        <rFont val="Times New Roman"/>
        <family val="1"/>
        <charset val="204"/>
      </rPr>
      <t xml:space="preserve"> </t>
    </r>
  </si>
  <si>
    <t>111 "Фонд оплаты труда учреждений"</t>
  </si>
  <si>
    <t>Должность</t>
  </si>
  <si>
    <t>Среднемесячный размер оплаты труда на штатную численность , руб</t>
  </si>
  <si>
    <t>Среднемесячный размер оплаты труда на 1 работника , руб</t>
  </si>
  <si>
    <t xml:space="preserve">по персональным выплатам </t>
  </si>
  <si>
    <t>по прочим выплатам (районный коэффициент и процентная надбавка за работу в особых климатических условиях)</t>
  </si>
  <si>
    <t xml:space="preserve">Директор </t>
  </si>
  <si>
    <t>Заместитель директора по учебно-воспитательной работе</t>
  </si>
  <si>
    <t>Заместитель директора по административно-хозяйственной части</t>
  </si>
  <si>
    <t>Библиотекарь</t>
  </si>
  <si>
    <t>Всего за год</t>
  </si>
  <si>
    <t>8. Расчет (обоснование) расходов на закупку товаров, работ, услуг</t>
  </si>
  <si>
    <t>44407020240075880611</t>
  </si>
  <si>
    <t>8.1. Расчет (обоснование) расходов на оплату прочих работ, услуг</t>
  </si>
  <si>
    <t xml:space="preserve">проживание </t>
  </si>
  <si>
    <t>444070200240188100611</t>
  </si>
  <si>
    <t>Воспитатель группы продленного дня</t>
  </si>
  <si>
    <t>Рабочий по комплексному обслуживанию и ремонту зданий</t>
  </si>
  <si>
    <t>Сторож</t>
  </si>
  <si>
    <t>Вахтер</t>
  </si>
  <si>
    <t>Машинист по стирке белья</t>
  </si>
  <si>
    <t>Музыкальный руководитель</t>
  </si>
  <si>
    <t>Иструктор по физической культуре</t>
  </si>
  <si>
    <t>Воспитатель</t>
  </si>
  <si>
    <t>150</t>
  </si>
  <si>
    <t>Руководитель Управления образования администрации Северо-Енисейского района</t>
  </si>
  <si>
    <t>КОСГУ 213 КВР 119</t>
  </si>
  <si>
    <t>Расчеты (обоснования) к плану финансово-хозяйственной деятельности муниципального учреждения</t>
  </si>
  <si>
    <t xml:space="preserve">1. Расчеты (обоснования) выплат персоналу </t>
  </si>
  <si>
    <t xml:space="preserve">1.1. Расчет (обоснование) расходов на оплату труда </t>
  </si>
  <si>
    <t>Младший воспитатель</t>
  </si>
  <si>
    <t>КОСГУ 211 КВР 111</t>
  </si>
  <si>
    <t xml:space="preserve">Итого в месяц </t>
  </si>
  <si>
    <t>КОСГУ 223 КВР 244</t>
  </si>
  <si>
    <t xml:space="preserve">Вывоз мусора ТКО, </t>
  </si>
  <si>
    <t>5.2. Расчет (обоснование) расходов на оплату прочих работ, услуг</t>
  </si>
  <si>
    <t>Приобретение бланков строгой отчетности (аттестаты)</t>
  </si>
  <si>
    <t>КОСГУ 226 КВР 244</t>
  </si>
  <si>
    <t>КОСГУ 226 КВР 112</t>
  </si>
  <si>
    <t>44410030230075660611</t>
  </si>
  <si>
    <t>КОСГУ 262 КВР 321</t>
  </si>
  <si>
    <t xml:space="preserve">Выплата компенсаций взамен горячих обедов обучающимся с ОВЗ,осваивающим образовательные программы  на дому </t>
  </si>
  <si>
    <t>1 человек*3334руб (компенсация в месяц)*9месяцев</t>
  </si>
  <si>
    <t>5.4. Расчет (обоснование) расходов на приобретение основных средств</t>
  </si>
  <si>
    <t>44407020240075640612</t>
  </si>
  <si>
    <t>Компьютер в сборе</t>
  </si>
  <si>
    <t>Учебная мебель</t>
  </si>
  <si>
    <t>Спортинвентарь</t>
  </si>
  <si>
    <t xml:space="preserve"> КОСГУ 346 КВР 244</t>
  </si>
  <si>
    <t>КОСГУ 310 КВР 244</t>
  </si>
  <si>
    <t>КОСГУ 345 КВР 24</t>
  </si>
  <si>
    <t>КОСГУ 341 КВР 244</t>
  </si>
  <si>
    <t xml:space="preserve">Медицтнская аптечка </t>
  </si>
  <si>
    <t>КОСГУ 346 КВР 244</t>
  </si>
  <si>
    <t>44407030240075640611</t>
  </si>
  <si>
    <t>44407020240053030611</t>
  </si>
  <si>
    <t>федеральный бюджет</t>
  </si>
  <si>
    <t>количество выплат</t>
  </si>
  <si>
    <t>Учитель</t>
  </si>
  <si>
    <t>44410030230053040612</t>
  </si>
  <si>
    <t xml:space="preserve">1-4 класс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</si>
  <si>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</si>
  <si>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444070202400S5630612</t>
  </si>
  <si>
    <t>Софинансирование субсидии бюджетам муниципальных районов и городских округов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</si>
  <si>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Сумма, руб (гр.3*гр.4*гр.)</t>
  </si>
  <si>
    <t>323</t>
  </si>
  <si>
    <t>КОСГУ 225 КВР 244</t>
  </si>
  <si>
    <t>КОСГУ 222 КВР 244</t>
  </si>
  <si>
    <t>44407020240088980612</t>
  </si>
  <si>
    <t>местный  бюджет</t>
  </si>
  <si>
    <t>Выплата премии в связи с празднованием Дня металлурга  в 2020 году  работникам муниципальных учреждений Северо-Енисейского района, финансовое обеспечение деятельности которых осуществляется за счет средств бюджета Северо-Енисейского района, а так же межбюджетных трансфертов,поступающих в бюджет Северо-Енисейского района</t>
  </si>
  <si>
    <t xml:space="preserve">111  Оплата труда </t>
  </si>
  <si>
    <t xml:space="preserve">119 Начисления на оплату труда </t>
  </si>
  <si>
    <t>(наименование должности руководителя уполномоченного органа)                        (подпись)     (расшифровка подписи)</t>
  </si>
  <si>
    <t>44407020240053030612</t>
  </si>
  <si>
    <t>федеральный  бюджет</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</si>
  <si>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</si>
  <si>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МЕСТНЫЙ БЮДЖЕТ    444 0702 0240188180 244                   2020г</t>
  </si>
  <si>
    <t>КОСГУ 310</t>
  </si>
  <si>
    <t>Факт</t>
  </si>
  <si>
    <t>Ед.изм.</t>
  </si>
  <si>
    <t>Цена, руб.</t>
  </si>
  <si>
    <t xml:space="preserve">Огнетушители </t>
  </si>
  <si>
    <t xml:space="preserve">стенд </t>
  </si>
  <si>
    <t>ИТОГО:</t>
  </si>
  <si>
    <t>Система внитреннего видеонаблюдения</t>
  </si>
  <si>
    <t xml:space="preserve">Шкаф в раздевалку </t>
  </si>
  <si>
    <t>Термометр бесконтактный</t>
  </si>
  <si>
    <t>Антисептик 5 л.</t>
  </si>
  <si>
    <t>Дезхлор (300 табл.)</t>
  </si>
  <si>
    <t>Маски одноразовые</t>
  </si>
  <si>
    <t>Перчатки медицинские</t>
  </si>
  <si>
    <t>Локтевой дозатор</t>
  </si>
  <si>
    <t>Средство дезенфицирующее UnikoNext 5k</t>
  </si>
  <si>
    <t>Расчеты ( обоснования ) к плану финансово-хозяйственной деятельности муниципального учреждения</t>
  </si>
  <si>
    <t>44410030230074420611</t>
  </si>
  <si>
    <t xml:space="preserve"> КОСГУ 244 КВР 226</t>
  </si>
  <si>
    <t xml:space="preserve">количество  человек  завтрак 6-10 лет </t>
  </si>
  <si>
    <t xml:space="preserve">стоимость  услуги </t>
  </si>
  <si>
    <t xml:space="preserve">количество потребителей   обед 6-10 лет </t>
  </si>
  <si>
    <t xml:space="preserve">количество  человек  обед 6-10 лет </t>
  </si>
  <si>
    <t xml:space="preserve">количество дней </t>
  </si>
  <si>
    <t>Субсидии бюджетам муниципальных районов, муниципальных и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</si>
  <si>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444100302300L30400611</t>
  </si>
  <si>
    <t>местный бюджет КОСГУ 244 КВР 226</t>
  </si>
  <si>
    <t>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</si>
  <si>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краевой  бюджет КОСГУ 244 КВР 226</t>
  </si>
  <si>
    <t>софинансирование местный   бюджет КОСГУ 244 КВР 226</t>
  </si>
  <si>
    <t>Софинансирование местный бюджет</t>
  </si>
  <si>
    <t>И.В.Губкина</t>
  </si>
  <si>
    <t>А.В. Никитина</t>
  </si>
  <si>
    <t>на 30.11.2020 г.</t>
  </si>
  <si>
    <t>Распоряжением Управления образования администрации Северо-Енисейского района от  30.11.2020 № 185в</t>
  </si>
  <si>
    <t>от " 30 " ноября 2020 года</t>
  </si>
  <si>
    <t>«30» 11 2020 г.</t>
  </si>
  <si>
    <t>КОСГУ 310 КВР244</t>
  </si>
  <si>
    <t>КОСГУ 214 КВР112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</si>
</sst>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р_._-;\-* #,##0.00\ _р_._-;_-* &quot;-&quot;??\ _р_._-;_-@_-"/>
    <numFmt numFmtId="164" formatCode="_-* #,##0.00\ _₽_-;\-* #,##0.00\ _₽_-;_-* &quot;-&quot;??\ _₽_-;_-@_-"/>
    <numFmt numFmtId="165" formatCode="_-* #,##0.00_₽_-;\-* #,##0.00_₽_-;_-* &quot;-&quot;??_₽_-;_-@_-"/>
    <numFmt numFmtId="166" formatCode="_-* #,##0.00_р_._-;\-* #,##0.00_р_._-;_-* &quot;-&quot;??_р_._-;_-@_-"/>
    <numFmt numFmtId="167" formatCode="#,##0.00_р_."/>
    <numFmt numFmtId="168" formatCode="#,##0.0"/>
    <numFmt numFmtId="169" formatCode="_-* #,##0_р_._-;\-* #,##0_р_._-;_-* &quot;-&quot;??_р_._-;_-@_-"/>
    <numFmt numFmtId="170" formatCode="0.000"/>
    <numFmt numFmtId="171" formatCode="?"/>
  </numFmts>
  <fonts count="61"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sz val="12"/>
      <name val="Times New Roman"/>
      <family val="1"/>
      <charset val="204"/>
    </font>
    <font>
      <sz val="11.5"/>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b/>
      <sz val="14"/>
      <color theme="1"/>
      <name val="Times New Roman"/>
      <family val="1"/>
      <charset val="204"/>
    </font>
    <font>
      <sz val="9"/>
      <color theme="1"/>
      <name val="Times New Roman"/>
      <family val="1"/>
      <charset val="204"/>
    </font>
    <font>
      <sz val="10"/>
      <name val="Times New Roman"/>
      <family val="1"/>
      <charset val="204"/>
    </font>
    <font>
      <sz val="10"/>
      <color theme="1"/>
      <name val="Times New Roman"/>
      <family val="1"/>
      <charset val="204"/>
    </font>
    <font>
      <sz val="10"/>
      <color rgb="FF000000"/>
      <name val="Times New Roman"/>
      <family val="1"/>
      <charset val="204"/>
    </font>
    <font>
      <sz val="11"/>
      <color theme="1"/>
      <name val="Calibri"/>
      <family val="2"/>
      <charset val="204"/>
      <scheme val="minor"/>
    </font>
    <font>
      <sz val="10"/>
      <name val="Arial Cyr"/>
      <charset val="204"/>
    </font>
    <font>
      <sz val="11"/>
      <name val="Times New Roman"/>
      <family val="1"/>
      <charset val="204"/>
    </font>
    <font>
      <sz val="9"/>
      <color theme="1"/>
      <name val="Calibri"/>
      <family val="2"/>
      <charset val="204"/>
      <scheme val="minor"/>
    </font>
    <font>
      <b/>
      <sz val="11"/>
      <name val="Times New Roman"/>
      <family val="1"/>
      <charset val="204"/>
    </font>
    <font>
      <sz val="10.5"/>
      <color theme="1"/>
      <name val="Times New Roman"/>
      <family val="1"/>
      <charset val="204"/>
    </font>
    <font>
      <sz val="10.5"/>
      <color rgb="FF000000"/>
      <name val="Times New Roman"/>
      <family val="1"/>
      <charset val="204"/>
    </font>
    <font>
      <sz val="10.5"/>
      <color rgb="FFFF0000"/>
      <name val="Times New Roman"/>
      <family val="1"/>
      <charset val="204"/>
    </font>
    <font>
      <sz val="10.5"/>
      <name val="Times New Roman"/>
      <family val="1"/>
      <charset val="204"/>
    </font>
    <font>
      <sz val="12"/>
      <color theme="1"/>
      <name val="Calibri"/>
      <family val="2"/>
      <charset val="204"/>
      <scheme val="minor"/>
    </font>
    <font>
      <b/>
      <sz val="12"/>
      <color theme="1"/>
      <name val="Calibri"/>
      <family val="2"/>
      <charset val="204"/>
      <scheme val="minor"/>
    </font>
    <font>
      <sz val="12"/>
      <color rgb="FFFF0000"/>
      <name val="Calibri"/>
      <family val="2"/>
      <charset val="204"/>
      <scheme val="minor"/>
    </font>
    <font>
      <sz val="9"/>
      <name val="Times New Roman"/>
      <family val="1"/>
      <charset val="204"/>
    </font>
    <font>
      <sz val="9"/>
      <color rgb="FF000000"/>
      <name val="Times New Roman"/>
      <family val="1"/>
      <charset val="204"/>
    </font>
    <font>
      <sz val="8"/>
      <color theme="1"/>
      <name val="Arial"/>
      <family val="2"/>
      <charset val="204"/>
    </font>
    <font>
      <b/>
      <sz val="12"/>
      <color rgb="FF000000"/>
      <name val="Times New Roman"/>
      <family val="1"/>
      <charset val="204"/>
    </font>
    <font>
      <sz val="9"/>
      <color rgb="FF000000"/>
      <name val="Courier New"/>
      <family val="3"/>
      <charset val="204"/>
    </font>
    <font>
      <sz val="9"/>
      <color rgb="FF000000"/>
      <name val="Calibri"/>
      <family val="2"/>
      <charset val="204"/>
      <scheme val="minor"/>
    </font>
    <font>
      <sz val="8"/>
      <color rgb="FF000000"/>
      <name val="Arial"/>
      <family val="2"/>
      <charset val="204"/>
    </font>
    <font>
      <sz val="11"/>
      <color rgb="FFFF0000"/>
      <name val="Times New Roman"/>
      <family val="1"/>
      <charset val="204"/>
    </font>
    <font>
      <sz val="10"/>
      <color theme="1"/>
      <name val="Calibri"/>
      <family val="2"/>
      <charset val="204"/>
      <scheme val="minor"/>
    </font>
    <font>
      <sz val="11"/>
      <name val="Calibri"/>
      <family val="2"/>
      <charset val="204"/>
      <scheme val="minor"/>
    </font>
    <font>
      <b/>
      <sz val="12"/>
      <name val="Times New Roman"/>
      <family val="1"/>
      <charset val="204"/>
    </font>
    <font>
      <b/>
      <sz val="10.5"/>
      <name val="Times New Roman"/>
      <family val="1"/>
      <charset val="204"/>
    </font>
    <font>
      <b/>
      <u/>
      <sz val="10.5"/>
      <name val="Times New Roman"/>
      <family val="1"/>
      <charset val="204"/>
    </font>
    <font>
      <sz val="8"/>
      <name val="Times New Roman"/>
      <family val="1"/>
      <charset val="204"/>
    </font>
    <font>
      <sz val="11.5"/>
      <name val="Times New Roman"/>
      <family val="1"/>
      <charset val="204"/>
    </font>
    <font>
      <sz val="8"/>
      <name val="Calibri"/>
      <family val="2"/>
      <charset val="204"/>
      <scheme val="minor"/>
    </font>
    <font>
      <sz val="12"/>
      <color rgb="FF0000FF"/>
      <name val="Times New Roman"/>
      <family val="1"/>
      <charset val="204"/>
    </font>
    <font>
      <b/>
      <sz val="11"/>
      <color theme="1"/>
      <name val="Calibri"/>
      <family val="2"/>
      <charset val="204"/>
      <scheme val="minor"/>
    </font>
    <font>
      <sz val="12"/>
      <color rgb="FFFF0000"/>
      <name val="Times New Roman"/>
      <family val="1"/>
      <charset val="204"/>
    </font>
    <font>
      <sz val="8"/>
      <color theme="1"/>
      <name val="Calibri"/>
      <family val="2"/>
      <charset val="204"/>
      <scheme val="minor"/>
    </font>
    <font>
      <sz val="8"/>
      <color rgb="FFFF0000"/>
      <name val="Times New Roman"/>
      <family val="1"/>
      <charset val="204"/>
    </font>
    <font>
      <b/>
      <sz val="10"/>
      <color theme="1"/>
      <name val="Times New Roman"/>
      <family val="1"/>
      <charset val="204"/>
    </font>
    <font>
      <sz val="14"/>
      <color theme="1"/>
      <name val="Times New Roman"/>
      <family val="1"/>
      <charset val="204"/>
    </font>
    <font>
      <sz val="10"/>
      <color indexed="8"/>
      <name val="Times New Roman"/>
      <family val="1"/>
      <charset val="204"/>
    </font>
    <font>
      <sz val="11"/>
      <color indexed="8"/>
      <name val="Calibri"/>
      <family val="2"/>
      <charset val="204"/>
    </font>
    <font>
      <b/>
      <sz val="11"/>
      <color indexed="8"/>
      <name val="Times New Roman"/>
      <family val="1"/>
      <charset val="204"/>
    </font>
    <font>
      <b/>
      <i/>
      <sz val="11"/>
      <color rgb="FF0000FF"/>
      <name val="Times New Roman"/>
      <family val="1"/>
      <charset val="204"/>
    </font>
    <font>
      <sz val="10"/>
      <name val="Arial"/>
      <family val="2"/>
      <charset val="204"/>
    </font>
    <font>
      <b/>
      <sz val="11"/>
      <color rgb="FFFF0000"/>
      <name val="Times New Roman"/>
      <family val="1"/>
      <charset val="204"/>
    </font>
    <font>
      <sz val="11"/>
      <color indexed="8"/>
      <name val="Times New Roman"/>
      <family val="1"/>
      <charset val="204"/>
    </font>
    <font>
      <b/>
      <sz val="11"/>
      <color rgb="FFFF00FF"/>
      <name val="Times New Roman"/>
      <family val="1"/>
      <charset val="204"/>
    </font>
    <font>
      <sz val="11"/>
      <color rgb="FFFF00FF"/>
      <name val="Times New Roman"/>
      <family val="1"/>
      <charset val="204"/>
    </font>
    <font>
      <b/>
      <sz val="14"/>
      <name val="Times New Roman"/>
      <family val="1"/>
      <charset val="204"/>
    </font>
    <font>
      <sz val="8"/>
      <name val="Arial"/>
      <family val="2"/>
      <charset val="204"/>
    </font>
    <font>
      <b/>
      <sz val="9"/>
      <name val="Times New Roman"/>
      <family val="1"/>
      <charset val="204"/>
    </font>
    <font>
      <sz val="8"/>
      <name val="Arial Cy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rgb="FF000000"/>
      </patternFill>
    </fill>
    <fill>
      <patternFill patternType="solid">
        <fgColor theme="0"/>
        <bgColor indexed="26"/>
      </patternFill>
    </fill>
    <fill>
      <patternFill patternType="solid">
        <fgColor theme="0"/>
        <bgColor indexed="34"/>
      </patternFill>
    </fill>
    <fill>
      <patternFill patternType="solid">
        <fgColor indexed="9"/>
        <bgColor indexed="64"/>
      </patternFill>
    </fill>
    <fill>
      <patternFill patternType="solid">
        <fgColor rgb="FF92D05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medium">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s>
  <cellStyleXfs count="7">
    <xf numFmtId="0" fontId="0" fillId="0" borderId="0"/>
    <xf numFmtId="166" fontId="13" fillId="0" borderId="0" applyFont="0" applyFill="0" applyBorder="0" applyAlignment="0" applyProtection="0"/>
    <xf numFmtId="0" fontId="14" fillId="0" borderId="0"/>
    <xf numFmtId="166" fontId="13" fillId="0" borderId="0" applyFont="0" applyFill="0" applyBorder="0" applyAlignment="0" applyProtection="0"/>
    <xf numFmtId="0" fontId="49" fillId="0" borderId="0"/>
    <xf numFmtId="0" fontId="52" fillId="0" borderId="0"/>
    <xf numFmtId="166" fontId="52" fillId="0" borderId="0" applyFont="0" applyFill="0" applyBorder="0" applyAlignment="0" applyProtection="0"/>
  </cellStyleXfs>
  <cellXfs count="1035">
    <xf numFmtId="0" fontId="0" fillId="0" borderId="0" xfId="0"/>
    <xf numFmtId="0" fontId="6" fillId="0" borderId="0" xfId="0" applyFont="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5" fillId="0" borderId="0" xfId="0" applyFont="1" applyAlignment="1">
      <alignment horizontal="center" vertical="top" wrapText="1"/>
    </xf>
    <xf numFmtId="0" fontId="8"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Border="1" applyAlignment="1">
      <alignment vertical="top" wrapText="1"/>
    </xf>
    <xf numFmtId="0" fontId="6" fillId="0" borderId="0" xfId="0" applyFont="1"/>
    <xf numFmtId="0" fontId="4" fillId="2" borderId="1" xfId="0" applyFont="1" applyFill="1" applyBorder="1" applyAlignment="1">
      <alignment vertical="top" wrapText="1"/>
    </xf>
    <xf numFmtId="4" fontId="2"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5" fillId="0" borderId="0" xfId="0" applyFont="1" applyAlignment="1"/>
    <xf numFmtId="0" fontId="11" fillId="0" borderId="0" xfId="0" applyFont="1" applyAlignment="1">
      <alignment horizontal="justify"/>
    </xf>
    <xf numFmtId="0" fontId="15" fillId="2" borderId="0" xfId="0" applyFont="1" applyFill="1"/>
    <xf numFmtId="0" fontId="15" fillId="2" borderId="0" xfId="0" applyFont="1" applyFill="1" applyBorder="1"/>
    <xf numFmtId="0" fontId="15" fillId="2" borderId="0" xfId="0" applyFont="1" applyFill="1" applyBorder="1" applyAlignment="1"/>
    <xf numFmtId="0" fontId="3" fillId="2" borderId="0" xfId="0" applyFont="1" applyFill="1" applyBorder="1" applyAlignment="1">
      <alignment vertical="center"/>
    </xf>
    <xf numFmtId="0" fontId="17" fillId="2" borderId="0" xfId="0" applyFont="1" applyFill="1" applyBorder="1"/>
    <xf numFmtId="0" fontId="3" fillId="2" borderId="0" xfId="0" applyFont="1" applyFill="1" applyBorder="1" applyAlignment="1"/>
    <xf numFmtId="0" fontId="15" fillId="2" borderId="0" xfId="0" applyFont="1" applyFill="1" applyBorder="1" applyAlignment="1">
      <alignment vertical="top"/>
    </xf>
    <xf numFmtId="0" fontId="17" fillId="2" borderId="0" xfId="0" applyFont="1" applyFill="1" applyBorder="1" applyAlignment="1">
      <alignment horizontal="center"/>
    </xf>
    <xf numFmtId="0" fontId="15" fillId="2" borderId="0" xfId="0" applyFont="1" applyFill="1" applyBorder="1" applyAlignment="1">
      <alignment vertical="center"/>
    </xf>
    <xf numFmtId="0" fontId="15" fillId="2" borderId="0" xfId="0" applyFont="1" applyFill="1" applyBorder="1" applyAlignment="1">
      <alignment horizontal="center" vertical="top"/>
    </xf>
    <xf numFmtId="0" fontId="15" fillId="2" borderId="1" xfId="0" applyFont="1" applyFill="1" applyBorder="1"/>
    <xf numFmtId="0" fontId="15" fillId="2" borderId="0" xfId="0" applyFont="1" applyFill="1" applyBorder="1" applyAlignment="1">
      <alignment horizontal="center"/>
    </xf>
    <xf numFmtId="0" fontId="15" fillId="2" borderId="7" xfId="0" applyFont="1" applyFill="1" applyBorder="1" applyAlignment="1">
      <alignment vertical="top"/>
    </xf>
    <xf numFmtId="0" fontId="17" fillId="2" borderId="1"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1" xfId="0" applyFont="1" applyFill="1" applyBorder="1" applyAlignment="1">
      <alignment horizontal="center" vertical="center"/>
    </xf>
    <xf numFmtId="0" fontId="17" fillId="2" borderId="6" xfId="0" applyFont="1" applyFill="1" applyBorder="1" applyAlignment="1">
      <alignment vertical="center" wrapText="1"/>
    </xf>
    <xf numFmtId="0" fontId="17" fillId="2" borderId="6" xfId="0" applyFont="1" applyFill="1" applyBorder="1" applyAlignment="1">
      <alignment horizontal="left" vertical="center" wrapText="1"/>
    </xf>
    <xf numFmtId="0" fontId="17" fillId="2" borderId="6" xfId="0" applyFont="1" applyFill="1" applyBorder="1" applyAlignment="1">
      <alignment horizontal="left" vertical="center"/>
    </xf>
    <xf numFmtId="0" fontId="17" fillId="2" borderId="3" xfId="0" applyFont="1" applyFill="1" applyBorder="1" applyAlignment="1">
      <alignment vertical="center" wrapText="1"/>
    </xf>
    <xf numFmtId="0" fontId="17" fillId="2" borderId="5" xfId="0" applyFont="1" applyFill="1" applyBorder="1" applyAlignment="1">
      <alignment vertical="center" wrapText="1"/>
    </xf>
    <xf numFmtId="0" fontId="17" fillId="2" borderId="10" xfId="0" applyFont="1" applyFill="1" applyBorder="1" applyAlignment="1">
      <alignment vertical="center" wrapText="1"/>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3" borderId="1" xfId="0" applyFont="1" applyFill="1" applyBorder="1" applyAlignment="1">
      <alignment horizontal="center" vertical="center"/>
    </xf>
    <xf numFmtId="0" fontId="17" fillId="2" borderId="0" xfId="0" applyFont="1" applyFill="1" applyAlignment="1">
      <alignment horizontal="center" vertical="center"/>
    </xf>
    <xf numFmtId="0" fontId="15" fillId="2" borderId="1" xfId="0" applyFont="1" applyFill="1" applyBorder="1" applyAlignment="1"/>
    <xf numFmtId="0" fontId="3" fillId="0" borderId="1" xfId="0" applyFont="1" applyBorder="1" applyAlignment="1">
      <alignment vertical="top" wrapText="1"/>
    </xf>
    <xf numFmtId="0" fontId="15" fillId="0" borderId="3" xfId="0" applyFont="1" applyBorder="1" applyAlignment="1">
      <alignment vertical="center" wrapText="1"/>
    </xf>
    <xf numFmtId="0" fontId="15" fillId="0" borderId="3" xfId="0" applyFont="1" applyFill="1" applyBorder="1" applyAlignment="1">
      <alignment vertical="center"/>
    </xf>
    <xf numFmtId="4" fontId="15" fillId="0" borderId="3" xfId="0" applyNumberFormat="1" applyFont="1" applyFill="1" applyBorder="1" applyAlignment="1">
      <alignment vertical="center"/>
    </xf>
    <xf numFmtId="4" fontId="15" fillId="2" borderId="1" xfId="0" applyNumberFormat="1" applyFont="1" applyFill="1" applyBorder="1" applyAlignment="1">
      <alignment vertical="center"/>
    </xf>
    <xf numFmtId="1" fontId="15" fillId="2" borderId="1" xfId="0" applyNumberFormat="1" applyFont="1" applyFill="1" applyBorder="1" applyAlignment="1">
      <alignment vertical="center"/>
    </xf>
    <xf numFmtId="9" fontId="15" fillId="2" borderId="1" xfId="0" applyNumberFormat="1" applyFont="1" applyFill="1" applyBorder="1" applyAlignment="1">
      <alignment vertical="center"/>
    </xf>
    <xf numFmtId="2" fontId="15" fillId="2" borderId="1" xfId="0" applyNumberFormat="1" applyFont="1" applyFill="1" applyBorder="1" applyAlignment="1">
      <alignment vertical="center"/>
    </xf>
    <xf numFmtId="0" fontId="15" fillId="2" borderId="1" xfId="0" applyFont="1" applyFill="1" applyBorder="1" applyAlignment="1">
      <alignment vertical="center"/>
    </xf>
    <xf numFmtId="1" fontId="15" fillId="4" borderId="6" xfId="0" applyNumberFormat="1" applyFont="1" applyFill="1" applyBorder="1" applyAlignment="1">
      <alignment vertical="center"/>
    </xf>
    <xf numFmtId="4" fontId="15" fillId="2" borderId="10" xfId="0" applyNumberFormat="1" applyFont="1" applyFill="1" applyBorder="1" applyAlignment="1">
      <alignment vertical="center"/>
    </xf>
    <xf numFmtId="4" fontId="15" fillId="3" borderId="1" xfId="0" applyNumberFormat="1" applyFont="1" applyFill="1" applyBorder="1" applyAlignment="1">
      <alignment vertical="center"/>
    </xf>
    <xf numFmtId="4" fontId="15" fillId="2" borderId="1" xfId="0" applyNumberFormat="1" applyFont="1" applyFill="1" applyBorder="1"/>
    <xf numFmtId="9" fontId="15" fillId="2" borderId="1" xfId="0" applyNumberFormat="1" applyFont="1" applyFill="1" applyBorder="1"/>
    <xf numFmtId="0" fontId="3" fillId="0" borderId="0" xfId="0" applyFont="1" applyAlignment="1">
      <alignment horizontal="left" vertical="top" wrapText="1"/>
    </xf>
    <xf numFmtId="0" fontId="15" fillId="0" borderId="14" xfId="0" applyFont="1" applyBorder="1" applyAlignment="1">
      <alignment vertical="center" wrapText="1"/>
    </xf>
    <xf numFmtId="1" fontId="15" fillId="0" borderId="3" xfId="0" applyNumberFormat="1" applyFont="1" applyFill="1" applyBorder="1" applyAlignment="1">
      <alignment vertical="center"/>
    </xf>
    <xf numFmtId="0" fontId="15" fillId="2" borderId="1" xfId="0" applyFont="1" applyFill="1" applyBorder="1" applyAlignment="1">
      <alignment horizontal="left" vertical="center" wrapText="1"/>
    </xf>
    <xf numFmtId="0" fontId="3" fillId="0" borderId="1" xfId="0" applyFont="1" applyBorder="1" applyAlignment="1">
      <alignment vertical="center" wrapText="1"/>
    </xf>
    <xf numFmtId="0" fontId="15" fillId="2" borderId="1" xfId="0" applyFont="1" applyFill="1" applyBorder="1" applyAlignment="1">
      <alignment horizontal="center" vertical="center"/>
    </xf>
    <xf numFmtId="0" fontId="3" fillId="0" borderId="1" xfId="0" applyFont="1" applyBorder="1" applyAlignment="1">
      <alignment horizontal="left" vertical="center" wrapText="1"/>
    </xf>
    <xf numFmtId="0" fontId="15" fillId="2" borderId="0" xfId="0" applyFont="1" applyFill="1" applyAlignment="1">
      <alignment horizontal="center" vertical="center"/>
    </xf>
    <xf numFmtId="4"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xf>
    <xf numFmtId="0" fontId="15" fillId="0" borderId="1" xfId="0" applyFont="1" applyBorder="1" applyAlignment="1">
      <alignment horizontal="left" vertical="top" wrapText="1"/>
    </xf>
    <xf numFmtId="0" fontId="15" fillId="0" borderId="1" xfId="0" applyFont="1" applyFill="1" applyBorder="1" applyAlignment="1">
      <alignment horizontal="center" vertical="center"/>
    </xf>
    <xf numFmtId="0" fontId="3" fillId="0" borderId="6" xfId="0" applyFont="1" applyFill="1" applyBorder="1" applyAlignment="1">
      <alignment vertical="top" wrapText="1"/>
    </xf>
    <xf numFmtId="4" fontId="15" fillId="0" borderId="1" xfId="0" applyNumberFormat="1" applyFont="1" applyFill="1" applyBorder="1" applyAlignment="1">
      <alignment vertical="center"/>
    </xf>
    <xf numFmtId="1" fontId="15" fillId="0" borderId="1" xfId="0" applyNumberFormat="1" applyFont="1" applyFill="1" applyBorder="1" applyAlignment="1">
      <alignment vertical="center"/>
    </xf>
    <xf numFmtId="0" fontId="15" fillId="0" borderId="1" xfId="0" applyFont="1" applyFill="1" applyBorder="1" applyAlignment="1">
      <alignment vertical="center"/>
    </xf>
    <xf numFmtId="0" fontId="15" fillId="0" borderId="0" xfId="0" applyFont="1" applyFill="1"/>
    <xf numFmtId="4" fontId="15" fillId="0" borderId="1" xfId="0" applyNumberFormat="1" applyFont="1" applyFill="1" applyBorder="1"/>
    <xf numFmtId="0" fontId="15" fillId="0" borderId="1" xfId="0" applyFont="1" applyFill="1" applyBorder="1"/>
    <xf numFmtId="0" fontId="15" fillId="2" borderId="1" xfId="0" applyFont="1" applyFill="1" applyBorder="1" applyAlignment="1">
      <alignment horizontal="center" vertical="center" wrapText="1"/>
    </xf>
    <xf numFmtId="0" fontId="17" fillId="0" borderId="9" xfId="0" applyFont="1" applyBorder="1" applyAlignment="1">
      <alignment vertical="center" textRotation="90" wrapText="1"/>
    </xf>
    <xf numFmtId="0" fontId="15" fillId="0" borderId="3" xfId="0" applyFont="1" applyFill="1" applyBorder="1" applyAlignment="1">
      <alignment vertical="center" wrapText="1"/>
    </xf>
    <xf numFmtId="0" fontId="17" fillId="0" borderId="6" xfId="0" applyFont="1" applyBorder="1" applyAlignment="1">
      <alignment vertical="center" textRotation="90" wrapText="1"/>
    </xf>
    <xf numFmtId="4" fontId="17" fillId="2" borderId="1" xfId="0" applyNumberFormat="1" applyFont="1" applyFill="1" applyBorder="1" applyAlignment="1">
      <alignment vertical="center"/>
    </xf>
    <xf numFmtId="4" fontId="17" fillId="3" borderId="1" xfId="0" applyNumberFormat="1" applyFont="1" applyFill="1" applyBorder="1" applyAlignment="1">
      <alignment vertical="center"/>
    </xf>
    <xf numFmtId="4" fontId="17" fillId="2" borderId="1" xfId="0" applyNumberFormat="1" applyFont="1" applyFill="1" applyBorder="1"/>
    <xf numFmtId="0" fontId="17" fillId="2" borderId="1" xfId="0" applyFont="1" applyFill="1" applyBorder="1"/>
    <xf numFmtId="0" fontId="15" fillId="0" borderId="0" xfId="0" applyFont="1" applyFill="1" applyBorder="1" applyAlignment="1">
      <alignment vertical="center"/>
    </xf>
    <xf numFmtId="4" fontId="15" fillId="0" borderId="0" xfId="0" applyNumberFormat="1" applyFont="1" applyFill="1" applyBorder="1" applyAlignment="1">
      <alignment vertical="center"/>
    </xf>
    <xf numFmtId="4" fontId="17" fillId="2" borderId="0" xfId="0" applyNumberFormat="1" applyFont="1" applyFill="1" applyBorder="1" applyAlignment="1">
      <alignment vertical="center"/>
    </xf>
    <xf numFmtId="4" fontId="17" fillId="2" borderId="0" xfId="0" applyNumberFormat="1" applyFont="1" applyFill="1" applyBorder="1"/>
    <xf numFmtId="0" fontId="17" fillId="2" borderId="0" xfId="0" applyFont="1" applyFill="1" applyBorder="1" applyAlignment="1"/>
    <xf numFmtId="0" fontId="17" fillId="2" borderId="0" xfId="0" applyFont="1" applyFill="1" applyBorder="1" applyAlignment="1">
      <alignment horizontal="left"/>
    </xf>
    <xf numFmtId="0" fontId="15" fillId="2" borderId="0" xfId="0" applyFont="1" applyFill="1" applyAlignment="1">
      <alignment vertical="top"/>
    </xf>
    <xf numFmtId="0" fontId="15" fillId="2" borderId="0" xfId="0" applyFont="1" applyFill="1" applyAlignment="1"/>
    <xf numFmtId="4" fontId="15" fillId="2" borderId="0" xfId="0" applyNumberFormat="1" applyFont="1" applyFill="1"/>
    <xf numFmtId="0" fontId="6" fillId="2" borderId="0" xfId="0" applyFont="1" applyFill="1"/>
    <xf numFmtId="0" fontId="6" fillId="2" borderId="0" xfId="0" applyFont="1" applyFill="1" applyAlignment="1">
      <alignment wrapText="1"/>
    </xf>
    <xf numFmtId="49" fontId="11" fillId="2" borderId="0" xfId="0" applyNumberFormat="1" applyFont="1" applyFill="1" applyAlignment="1">
      <alignment horizontal="center" vertical="center" wrapText="1"/>
    </xf>
    <xf numFmtId="4" fontId="21" fillId="2" borderId="1" xfId="0" applyNumberFormat="1" applyFont="1" applyFill="1" applyBorder="1" applyAlignment="1">
      <alignment horizontal="left" vertical="top"/>
    </xf>
    <xf numFmtId="0" fontId="21" fillId="2" borderId="1" xfId="0" applyFont="1" applyFill="1" applyBorder="1" applyAlignment="1">
      <alignment horizontal="left" vertical="top"/>
    </xf>
    <xf numFmtId="0" fontId="19" fillId="0" borderId="1" xfId="0" applyFont="1" applyBorder="1" applyAlignment="1">
      <alignment horizontal="left" vertical="top" wrapText="1"/>
    </xf>
    <xf numFmtId="4" fontId="19" fillId="0" borderId="1" xfId="0" applyNumberFormat="1" applyFont="1" applyBorder="1" applyAlignment="1">
      <alignment horizontal="left" vertical="top" wrapText="1"/>
    </xf>
    <xf numFmtId="0" fontId="19" fillId="2" borderId="1" xfId="0" applyFont="1" applyFill="1" applyBorder="1" applyAlignment="1">
      <alignment horizontal="left" vertical="top" wrapText="1"/>
    </xf>
    <xf numFmtId="1" fontId="21" fillId="0" borderId="1" xfId="0" applyNumberFormat="1" applyFont="1" applyBorder="1" applyAlignment="1">
      <alignment horizontal="left" vertical="top"/>
    </xf>
    <xf numFmtId="2" fontId="21" fillId="0" borderId="1" xfId="0" applyNumberFormat="1" applyFont="1" applyBorder="1" applyAlignment="1">
      <alignment horizontal="left" vertical="top"/>
    </xf>
    <xf numFmtId="0" fontId="18" fillId="5" borderId="1" xfId="0" applyFont="1" applyFill="1" applyBorder="1" applyAlignment="1">
      <alignment horizontal="left" vertical="top" wrapText="1"/>
    </xf>
    <xf numFmtId="4" fontId="18" fillId="5" borderId="1" xfId="0" applyNumberFormat="1" applyFont="1" applyFill="1" applyBorder="1" applyAlignment="1">
      <alignment horizontal="left" vertical="top" wrapText="1"/>
    </xf>
    <xf numFmtId="0" fontId="11" fillId="0" borderId="0" xfId="0" applyFont="1" applyBorder="1" applyAlignment="1">
      <alignment horizontal="center" vertical="top" wrapText="1"/>
    </xf>
    <xf numFmtId="0" fontId="22" fillId="0" borderId="0" xfId="0" applyFont="1"/>
    <xf numFmtId="0" fontId="23" fillId="0" borderId="0" xfId="0" applyFont="1"/>
    <xf numFmtId="0" fontId="22" fillId="0" borderId="0" xfId="0" applyFont="1" applyAlignment="1">
      <alignment vertical="top" wrapText="1"/>
    </xf>
    <xf numFmtId="49" fontId="22" fillId="0" borderId="0" xfId="0" applyNumberFormat="1" applyFont="1" applyAlignment="1">
      <alignment vertical="top" wrapText="1"/>
    </xf>
    <xf numFmtId="49" fontId="22" fillId="0" borderId="0" xfId="0" applyNumberFormat="1" applyFont="1"/>
    <xf numFmtId="166" fontId="22" fillId="6" borderId="1" xfId="0" applyNumberFormat="1" applyFont="1" applyFill="1" applyBorder="1"/>
    <xf numFmtId="166" fontId="22" fillId="0" borderId="0" xfId="0" applyNumberFormat="1" applyFont="1"/>
    <xf numFmtId="166" fontId="22" fillId="6" borderId="0" xfId="0" applyNumberFormat="1" applyFont="1" applyFill="1"/>
    <xf numFmtId="0" fontId="22" fillId="6" borderId="1" xfId="0" applyFont="1" applyFill="1" applyBorder="1"/>
    <xf numFmtId="4" fontId="24" fillId="6" borderId="0" xfId="0" applyNumberFormat="1" applyFont="1" applyFill="1"/>
    <xf numFmtId="166" fontId="24" fillId="6" borderId="0" xfId="0" applyNumberFormat="1" applyFont="1" applyFill="1"/>
    <xf numFmtId="0" fontId="22" fillId="0" borderId="1" xfId="0" applyFont="1" applyBorder="1"/>
    <xf numFmtId="4" fontId="22" fillId="6" borderId="0" xfId="0" applyNumberFormat="1" applyFont="1" applyFill="1"/>
    <xf numFmtId="0" fontId="22" fillId="0" borderId="9" xfId="0" applyFont="1" applyFill="1" applyBorder="1"/>
    <xf numFmtId="0" fontId="22" fillId="6" borderId="0" xfId="0" applyFont="1" applyFill="1"/>
    <xf numFmtId="49" fontId="22" fillId="6" borderId="0" xfId="0" applyNumberFormat="1" applyFont="1" applyFill="1" applyAlignment="1">
      <alignment vertical="top" wrapText="1"/>
    </xf>
    <xf numFmtId="0" fontId="24" fillId="0" borderId="0" xfId="0" applyFont="1"/>
    <xf numFmtId="4" fontId="22" fillId="0" borderId="0" xfId="0" applyNumberFormat="1" applyFont="1"/>
    <xf numFmtId="0" fontId="18" fillId="3" borderId="1" xfId="0" applyFont="1" applyFill="1" applyBorder="1" applyAlignment="1">
      <alignment horizontal="left" vertical="top"/>
    </xf>
    <xf numFmtId="0" fontId="22" fillId="3" borderId="0" xfId="0" applyFont="1" applyFill="1"/>
    <xf numFmtId="166" fontId="22" fillId="3" borderId="1" xfId="0" applyNumberFormat="1" applyFont="1" applyFill="1" applyBorder="1"/>
    <xf numFmtId="0" fontId="24" fillId="0" borderId="1" xfId="0" applyFont="1" applyBorder="1"/>
    <xf numFmtId="0" fontId="22" fillId="3" borderId="0" xfId="0" applyFont="1" applyFill="1" applyAlignment="1">
      <alignment vertical="top" wrapText="1"/>
    </xf>
    <xf numFmtId="0" fontId="22" fillId="7" borderId="1" xfId="0" applyFont="1" applyFill="1" applyBorder="1"/>
    <xf numFmtId="0" fontId="22" fillId="2" borderId="1" xfId="0" applyFont="1" applyFill="1" applyBorder="1"/>
    <xf numFmtId="4" fontId="18" fillId="3" borderId="1" xfId="0" applyNumberFormat="1" applyFont="1" applyFill="1" applyBorder="1" applyAlignment="1">
      <alignment horizontal="left" vertical="top"/>
    </xf>
    <xf numFmtId="4" fontId="18" fillId="3" borderId="3" xfId="0" applyNumberFormat="1" applyFont="1" applyFill="1" applyBorder="1" applyAlignment="1">
      <alignment horizontal="left" vertical="top"/>
    </xf>
    <xf numFmtId="0" fontId="24" fillId="8" borderId="0" xfId="0" applyFont="1" applyFill="1" applyAlignment="1">
      <alignment vertical="top" wrapText="1"/>
    </xf>
    <xf numFmtId="0" fontId="22" fillId="8" borderId="0" xfId="0" applyFont="1" applyFill="1" applyAlignment="1">
      <alignment vertical="top" wrapText="1"/>
    </xf>
    <xf numFmtId="0" fontId="22" fillId="8" borderId="0" xfId="0" applyFont="1" applyFill="1"/>
    <xf numFmtId="0" fontId="22" fillId="8" borderId="1" xfId="0" applyFont="1" applyFill="1" applyBorder="1"/>
    <xf numFmtId="0" fontId="24" fillId="8" borderId="0" xfId="0" applyFont="1" applyFill="1"/>
    <xf numFmtId="0" fontId="22" fillId="8" borderId="9" xfId="0" applyFont="1" applyFill="1" applyBorder="1"/>
    <xf numFmtId="0" fontId="24" fillId="8" borderId="9" xfId="0" applyFont="1" applyFill="1" applyBorder="1"/>
    <xf numFmtId="4" fontId="22" fillId="8" borderId="0" xfId="0" applyNumberFormat="1" applyFont="1" applyFill="1"/>
    <xf numFmtId="4" fontId="18" fillId="0" borderId="5" xfId="0" applyNumberFormat="1" applyFont="1" applyBorder="1" applyAlignment="1">
      <alignment horizontal="left" vertical="top"/>
    </xf>
    <xf numFmtId="0" fontId="18" fillId="0" borderId="1" xfId="0" applyFont="1" applyBorder="1" applyAlignment="1">
      <alignment horizontal="left" vertical="top"/>
    </xf>
    <xf numFmtId="0" fontId="20" fillId="5" borderId="1" xfId="0" applyFont="1" applyFill="1" applyBorder="1" applyAlignment="1">
      <alignment horizontal="left" vertical="top" wrapText="1"/>
    </xf>
    <xf numFmtId="4" fontId="20" fillId="5" borderId="1" xfId="0" applyNumberFormat="1" applyFont="1" applyFill="1" applyBorder="1" applyAlignment="1">
      <alignment horizontal="left" vertical="top" wrapText="1"/>
    </xf>
    <xf numFmtId="1" fontId="20" fillId="0" borderId="1" xfId="0" applyNumberFormat="1" applyFont="1" applyBorder="1" applyAlignment="1">
      <alignment horizontal="left" vertical="top"/>
    </xf>
    <xf numFmtId="2" fontId="20" fillId="0" borderId="1" xfId="0" applyNumberFormat="1" applyFont="1" applyBorder="1" applyAlignment="1">
      <alignment horizontal="left" vertical="top"/>
    </xf>
    <xf numFmtId="4" fontId="20" fillId="3" borderId="1" xfId="1" applyNumberFormat="1" applyFont="1" applyFill="1" applyBorder="1" applyAlignment="1">
      <alignment horizontal="left" vertical="top"/>
    </xf>
    <xf numFmtId="0" fontId="20" fillId="5" borderId="3" xfId="0" applyFont="1" applyFill="1" applyBorder="1" applyAlignment="1">
      <alignment horizontal="left" vertical="top" wrapText="1"/>
    </xf>
    <xf numFmtId="0" fontId="20" fillId="5" borderId="4" xfId="0" applyFont="1" applyFill="1" applyBorder="1" applyAlignment="1">
      <alignment horizontal="left" vertical="top" wrapText="1"/>
    </xf>
    <xf numFmtId="49" fontId="20" fillId="5" borderId="3" xfId="0" applyNumberFormat="1" applyFont="1" applyFill="1" applyBorder="1" applyAlignment="1">
      <alignment horizontal="left" vertical="top" wrapText="1"/>
    </xf>
    <xf numFmtId="49" fontId="20" fillId="5" borderId="4" xfId="0" applyNumberFormat="1" applyFont="1" applyFill="1" applyBorder="1" applyAlignment="1">
      <alignment horizontal="left" vertical="top" wrapText="1"/>
    </xf>
    <xf numFmtId="0" fontId="18" fillId="5" borderId="3" xfId="0" applyFont="1" applyFill="1" applyBorder="1" applyAlignment="1">
      <alignment horizontal="left" vertical="top" wrapText="1"/>
    </xf>
    <xf numFmtId="0" fontId="18" fillId="5" borderId="4" xfId="0" applyFont="1" applyFill="1" applyBorder="1" applyAlignment="1">
      <alignment horizontal="left" vertical="top" wrapText="1"/>
    </xf>
    <xf numFmtId="0" fontId="20" fillId="0" borderId="3" xfId="0" applyFont="1" applyBorder="1" applyAlignment="1">
      <alignment horizontal="left" vertical="top"/>
    </xf>
    <xf numFmtId="0" fontId="20" fillId="0" borderId="4" xfId="0" applyFont="1" applyBorder="1" applyAlignment="1">
      <alignment horizontal="left" vertical="top"/>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4" fontId="21" fillId="3" borderId="1" xfId="1" applyNumberFormat="1" applyFont="1" applyFill="1" applyBorder="1" applyAlignment="1">
      <alignment horizontal="left" vertical="top"/>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11" fillId="0" borderId="1" xfId="0" applyFont="1" applyBorder="1" applyAlignment="1">
      <alignment horizontal="center" vertical="center" wrapText="1"/>
    </xf>
    <xf numFmtId="4" fontId="0" fillId="0" borderId="0" xfId="0" applyNumberFormat="1"/>
    <xf numFmtId="0" fontId="28" fillId="5" borderId="17"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 fillId="5" borderId="15" xfId="0" applyFont="1" applyFill="1" applyBorder="1" applyAlignment="1">
      <alignment vertical="center" wrapText="1"/>
    </xf>
    <xf numFmtId="0" fontId="2" fillId="5" borderId="16" xfId="0" applyFont="1" applyFill="1" applyBorder="1" applyAlignment="1">
      <alignment vertical="center" wrapText="1"/>
    </xf>
    <xf numFmtId="0" fontId="11" fillId="5" borderId="16"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11" fillId="5" borderId="15" xfId="0" applyFont="1" applyFill="1" applyBorder="1" applyAlignment="1">
      <alignment vertical="center" wrapText="1"/>
    </xf>
    <xf numFmtId="0" fontId="1" fillId="5" borderId="16" xfId="0" applyFont="1" applyFill="1" applyBorder="1" applyAlignment="1">
      <alignment horizontal="right"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29" fillId="0" borderId="0" xfId="0" applyFont="1"/>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7" fillId="0" borderId="1" xfId="0" applyFont="1" applyBorder="1" applyAlignment="1">
      <alignment horizontal="center" vertical="center" wrapText="1"/>
    </xf>
    <xf numFmtId="4" fontId="27"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30" fillId="9" borderId="1"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31" fillId="9" borderId="5" xfId="0" applyFont="1" applyFill="1" applyBorder="1" applyAlignment="1">
      <alignment horizontal="center" vertical="center" wrapText="1"/>
    </xf>
    <xf numFmtId="4" fontId="31" fillId="9" borderId="5" xfId="0" applyNumberFormat="1" applyFont="1" applyFill="1" applyBorder="1" applyAlignment="1">
      <alignment horizontal="center" vertical="center" wrapText="1"/>
    </xf>
    <xf numFmtId="0" fontId="30" fillId="9" borderId="6"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31" fillId="9" borderId="10" xfId="0" applyFont="1" applyFill="1" applyBorder="1" applyAlignment="1">
      <alignment horizontal="center" vertical="center" wrapText="1"/>
    </xf>
    <xf numFmtId="4" fontId="31" fillId="9" borderId="10"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31" fillId="0" borderId="5" xfId="0" applyFont="1" applyBorder="1" applyAlignment="1">
      <alignment horizontal="center" vertical="center" wrapText="1"/>
    </xf>
    <xf numFmtId="4" fontId="31"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31" fillId="0" borderId="10" xfId="0" applyFont="1" applyBorder="1" applyAlignment="1">
      <alignment horizontal="center" vertical="center" wrapText="1"/>
    </xf>
    <xf numFmtId="4" fontId="31" fillId="0" borderId="10" xfId="0" applyNumberFormat="1" applyFont="1" applyBorder="1" applyAlignment="1">
      <alignment horizontal="center" vertical="center" wrapText="1"/>
    </xf>
    <xf numFmtId="0" fontId="18" fillId="2" borderId="3" xfId="0" applyFont="1" applyFill="1" applyBorder="1" applyAlignment="1">
      <alignment horizontal="center" vertical="top"/>
    </xf>
    <xf numFmtId="0" fontId="18" fillId="2" borderId="4" xfId="0" applyFont="1" applyFill="1" applyBorder="1" applyAlignment="1">
      <alignment horizontal="center" vertical="top"/>
    </xf>
    <xf numFmtId="4" fontId="21" fillId="2" borderId="1" xfId="0" applyNumberFormat="1" applyFont="1" applyFill="1" applyBorder="1" applyAlignment="1">
      <alignment horizontal="center" vertical="center"/>
    </xf>
    <xf numFmtId="4" fontId="21" fillId="2" borderId="1" xfId="0" applyNumberFormat="1" applyFont="1" applyFill="1" applyBorder="1" applyAlignment="1">
      <alignment horizontal="center" vertical="center" wrapText="1"/>
    </xf>
    <xf numFmtId="0" fontId="0" fillId="0" borderId="0" xfId="0"/>
    <xf numFmtId="167" fontId="2"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2" fontId="21" fillId="4" borderId="1" xfId="0" applyNumberFormat="1" applyFont="1" applyFill="1" applyBorder="1" applyAlignment="1">
      <alignment horizontal="left" vertical="top"/>
    </xf>
    <xf numFmtId="0" fontId="32" fillId="2" borderId="0" xfId="0" applyFont="1" applyFill="1"/>
    <xf numFmtId="4" fontId="32" fillId="2" borderId="0" xfId="0" applyNumberFormat="1" applyFont="1" applyFill="1"/>
    <xf numFmtId="0" fontId="34" fillId="2" borderId="0" xfId="0" applyFont="1" applyFill="1"/>
    <xf numFmtId="0" fontId="25" fillId="2" borderId="0" xfId="0" applyFont="1" applyFill="1" applyAlignment="1">
      <alignment horizontal="center" vertical="center"/>
    </xf>
    <xf numFmtId="0" fontId="10" fillId="2" borderId="1" xfId="0" applyFont="1" applyFill="1" applyBorder="1" applyAlignment="1">
      <alignment wrapText="1"/>
    </xf>
    <xf numFmtId="0" fontId="25" fillId="2" borderId="0" xfId="0" applyFont="1" applyFill="1"/>
    <xf numFmtId="0" fontId="25" fillId="2" borderId="0" xfId="0" applyFont="1" applyFill="1" applyAlignment="1">
      <alignment vertical="top"/>
    </xf>
    <xf numFmtId="0" fontId="10" fillId="2" borderId="1" xfId="0" applyFont="1" applyFill="1" applyBorder="1" applyAlignment="1">
      <alignment vertical="center" wrapText="1"/>
    </xf>
    <xf numFmtId="0" fontId="21" fillId="2" borderId="1" xfId="0" applyFont="1" applyFill="1" applyBorder="1" applyAlignment="1">
      <alignment horizontal="center" vertical="top" wrapText="1"/>
    </xf>
    <xf numFmtId="4" fontId="21" fillId="2" borderId="1" xfId="1" applyNumberFormat="1" applyFont="1" applyFill="1" applyBorder="1" applyAlignment="1">
      <alignment horizontal="left" vertical="top"/>
    </xf>
    <xf numFmtId="4" fontId="21" fillId="2" borderId="6" xfId="0" applyNumberFormat="1" applyFont="1" applyFill="1" applyBorder="1" applyAlignment="1">
      <alignment horizontal="left" vertical="top"/>
    </xf>
    <xf numFmtId="0" fontId="10" fillId="2" borderId="1" xfId="0" applyFont="1" applyFill="1" applyBorder="1"/>
    <xf numFmtId="0" fontId="21" fillId="2" borderId="2" xfId="0" applyFont="1" applyFill="1" applyBorder="1" applyAlignment="1">
      <alignment horizontal="left" vertical="top"/>
    </xf>
    <xf numFmtId="3" fontId="10" fillId="2" borderId="1" xfId="0" applyNumberFormat="1" applyFont="1" applyFill="1" applyBorder="1" applyAlignment="1">
      <alignment horizontal="center" vertical="center" wrapText="1"/>
    </xf>
    <xf numFmtId="168" fontId="10" fillId="2" borderId="1" xfId="0" applyNumberFormat="1" applyFont="1" applyFill="1" applyBorder="1" applyAlignment="1">
      <alignment horizontal="center" vertical="center" wrapText="1"/>
    </xf>
    <xf numFmtId="4" fontId="15" fillId="0" borderId="1" xfId="0" applyNumberFormat="1" applyFont="1" applyBorder="1" applyAlignment="1">
      <alignment horizontal="center" vertical="center" wrapText="1"/>
    </xf>
    <xf numFmtId="2" fontId="25" fillId="2" borderId="0" xfId="0" applyNumberFormat="1" applyFont="1" applyFill="1" applyAlignment="1">
      <alignment horizontal="left" vertical="top" wrapText="1"/>
    </xf>
    <xf numFmtId="0" fontId="10" fillId="2" borderId="1" xfId="0" applyFont="1" applyFill="1" applyBorder="1" applyAlignment="1">
      <alignment horizontal="left"/>
    </xf>
    <xf numFmtId="0" fontId="15" fillId="2" borderId="0" xfId="0" applyFont="1" applyFill="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wrapText="1"/>
    </xf>
    <xf numFmtId="0" fontId="2" fillId="0" borderId="1" xfId="0" applyFont="1" applyBorder="1" applyAlignment="1">
      <alignment horizontal="left" vertical="center" wrapText="1"/>
    </xf>
    <xf numFmtId="0" fontId="21" fillId="2" borderId="1" xfId="0" applyFont="1" applyFill="1" applyBorder="1" applyAlignment="1">
      <alignment horizontal="center" vertical="top"/>
    </xf>
    <xf numFmtId="0" fontId="21" fillId="2" borderId="1" xfId="0" applyFont="1" applyFill="1" applyBorder="1" applyAlignment="1">
      <alignment horizontal="left" vertical="top"/>
    </xf>
    <xf numFmtId="166" fontId="21" fillId="2" borderId="1" xfId="1" applyFont="1" applyFill="1" applyBorder="1" applyAlignment="1">
      <alignment horizontal="left" vertical="top"/>
    </xf>
    <xf numFmtId="0" fontId="21" fillId="2" borderId="1" xfId="0" applyFont="1" applyFill="1" applyBorder="1" applyAlignment="1">
      <alignment vertical="top" wrapText="1"/>
    </xf>
    <xf numFmtId="0" fontId="2" fillId="0" borderId="15" xfId="0" applyFont="1" applyBorder="1" applyAlignment="1">
      <alignment horizontal="center" vertical="center" wrapText="1"/>
    </xf>
    <xf numFmtId="0" fontId="4" fillId="2" borderId="1" xfId="0" applyFont="1" applyFill="1" applyBorder="1" applyAlignment="1">
      <alignment vertical="center" wrapText="1"/>
    </xf>
    <xf numFmtId="0" fontId="6" fillId="2" borderId="0" xfId="0" applyFont="1" applyFill="1" applyAlignment="1">
      <alignment horizontal="center" wrapText="1"/>
    </xf>
    <xf numFmtId="0" fontId="4" fillId="2" borderId="5" xfId="0" applyFont="1" applyFill="1" applyBorder="1" applyAlignment="1">
      <alignment vertical="center" wrapText="1"/>
    </xf>
    <xf numFmtId="49" fontId="2"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9" fillId="2" borderId="1" xfId="0" applyFont="1" applyFill="1" applyBorder="1" applyAlignment="1">
      <alignment vertical="center" wrapText="1"/>
    </xf>
    <xf numFmtId="0" fontId="39" fillId="2" borderId="1" xfId="0" applyFont="1" applyFill="1" applyBorder="1" applyAlignment="1">
      <alignment vertical="top" wrapText="1"/>
    </xf>
    <xf numFmtId="49" fontId="3"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left" wrapText="1"/>
    </xf>
    <xf numFmtId="0" fontId="6" fillId="0" borderId="1" xfId="0" applyFont="1" applyBorder="1"/>
    <xf numFmtId="49"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1" fillId="2" borderId="1" xfId="0" applyFont="1" applyFill="1" applyBorder="1" applyAlignment="1">
      <alignment horizontal="left" vertical="top"/>
    </xf>
    <xf numFmtId="0" fontId="21" fillId="2" borderId="3" xfId="0" applyFont="1" applyFill="1" applyBorder="1" applyAlignment="1">
      <alignment vertical="top" wrapText="1"/>
    </xf>
    <xf numFmtId="0" fontId="21" fillId="2" borderId="1" xfId="0" applyFont="1" applyFill="1" applyBorder="1" applyAlignment="1">
      <alignment vertical="top" wrapText="1"/>
    </xf>
    <xf numFmtId="0" fontId="21" fillId="4" borderId="1" xfId="0" applyFont="1" applyFill="1" applyBorder="1" applyAlignment="1">
      <alignment vertical="top" wrapText="1"/>
    </xf>
    <xf numFmtId="0" fontId="21" fillId="2" borderId="1" xfId="0" applyFont="1" applyFill="1" applyBorder="1" applyAlignment="1">
      <alignment horizontal="center" vertical="top"/>
    </xf>
    <xf numFmtId="0" fontId="0" fillId="0" borderId="1" xfId="0" applyFill="1" applyBorder="1" applyAlignment="1">
      <alignment wrapText="1"/>
    </xf>
    <xf numFmtId="0" fontId="2" fillId="0" borderId="15" xfId="0" applyFont="1" applyBorder="1" applyAlignment="1">
      <alignment vertical="center" wrapText="1"/>
    </xf>
    <xf numFmtId="0" fontId="2" fillId="0" borderId="22" xfId="0" applyFont="1" applyBorder="1" applyAlignment="1">
      <alignment vertical="center" wrapText="1"/>
    </xf>
    <xf numFmtId="0" fontId="2" fillId="0" borderId="22" xfId="0" applyFont="1" applyBorder="1" applyAlignment="1">
      <alignment horizontal="center" vertical="center" wrapText="1"/>
    </xf>
    <xf numFmtId="0" fontId="0" fillId="0" borderId="1" xfId="0" applyFill="1" applyBorder="1"/>
    <xf numFmtId="0" fontId="6" fillId="0" borderId="1"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justify" vertical="center"/>
    </xf>
    <xf numFmtId="0" fontId="7" fillId="0" borderId="0" xfId="0" applyFont="1" applyAlignment="1">
      <alignment vertical="center"/>
    </xf>
    <xf numFmtId="0" fontId="6" fillId="0" borderId="7" xfId="0" applyFont="1" applyBorder="1"/>
    <xf numFmtId="0" fontId="0" fillId="0" borderId="0" xfId="0" applyAlignment="1">
      <alignment horizontal="center"/>
    </xf>
    <xf numFmtId="0" fontId="0" fillId="0" borderId="0" xfId="0" applyAlignment="1">
      <alignment horizont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5" xfId="0" applyFont="1" applyBorder="1" applyAlignment="1">
      <alignment vertical="center" wrapText="1"/>
    </xf>
    <xf numFmtId="0" fontId="43" fillId="0" borderId="16" xfId="0" applyFont="1" applyBorder="1" applyAlignment="1">
      <alignment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8" fillId="0" borderId="16" xfId="0" applyFont="1" applyBorder="1" applyAlignment="1">
      <alignment horizontal="center" vertical="center" wrapText="1"/>
    </xf>
    <xf numFmtId="0" fontId="44" fillId="0" borderId="0" xfId="0" applyFont="1"/>
    <xf numFmtId="0" fontId="45"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6" xfId="0" applyFont="1" applyBorder="1" applyAlignment="1">
      <alignment horizontal="center" vertical="center" wrapText="1"/>
    </xf>
    <xf numFmtId="165" fontId="21" fillId="2" borderId="5" xfId="0" applyNumberFormat="1" applyFont="1" applyFill="1" applyBorder="1" applyAlignment="1">
      <alignment vertical="top"/>
    </xf>
    <xf numFmtId="0" fontId="38"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42" fillId="0" borderId="0" xfId="0" applyFont="1"/>
    <xf numFmtId="0" fontId="21" fillId="2" borderId="2" xfId="0" applyFont="1" applyFill="1" applyBorder="1" applyAlignment="1">
      <alignment vertical="top" wrapText="1"/>
    </xf>
    <xf numFmtId="0" fontId="21" fillId="2" borderId="2" xfId="0" applyFont="1" applyFill="1" applyBorder="1" applyAlignment="1">
      <alignment horizontal="center" vertical="top"/>
    </xf>
    <xf numFmtId="165" fontId="21" fillId="2" borderId="13" xfId="0" applyNumberFormat="1" applyFont="1" applyFill="1" applyBorder="1" applyAlignment="1">
      <alignment vertical="top"/>
    </xf>
    <xf numFmtId="4" fontId="21" fillId="2" borderId="2" xfId="0" applyNumberFormat="1" applyFont="1" applyFill="1" applyBorder="1" applyAlignment="1">
      <alignment horizontal="left" vertical="top"/>
    </xf>
    <xf numFmtId="166" fontId="21" fillId="2" borderId="2" xfId="1" applyFont="1" applyFill="1" applyBorder="1" applyAlignment="1">
      <alignment horizontal="left" vertical="top"/>
    </xf>
    <xf numFmtId="0" fontId="3" fillId="0" borderId="2" xfId="0" applyFont="1" applyBorder="1" applyAlignment="1">
      <alignment horizontal="center" vertical="center" wrapText="1"/>
    </xf>
    <xf numFmtId="2" fontId="21" fillId="4" borderId="2" xfId="0" applyNumberFormat="1" applyFont="1" applyFill="1" applyBorder="1" applyAlignment="1">
      <alignment horizontal="left" vertical="top"/>
    </xf>
    <xf numFmtId="165" fontId="3" fillId="0" borderId="2" xfId="0" applyNumberFormat="1" applyFont="1" applyBorder="1" applyAlignment="1">
      <alignment horizontal="center" vertical="center" wrapText="1"/>
    </xf>
    <xf numFmtId="0" fontId="35" fillId="0" borderId="25" xfId="0" applyFont="1" applyBorder="1" applyAlignment="1">
      <alignment vertical="center" wrapText="1"/>
    </xf>
    <xf numFmtId="0" fontId="35" fillId="0" borderId="26" xfId="0" applyFont="1" applyBorder="1" applyAlignment="1">
      <alignment horizontal="center" vertical="center" wrapText="1"/>
    </xf>
    <xf numFmtId="4" fontId="35" fillId="0" borderId="26" xfId="0" applyNumberFormat="1" applyFont="1" applyBorder="1" applyAlignment="1">
      <alignment vertical="center" wrapText="1"/>
    </xf>
    <xf numFmtId="0" fontId="35" fillId="0" borderId="26" xfId="0" applyFont="1" applyBorder="1" applyAlignment="1">
      <alignment vertical="center" wrapText="1"/>
    </xf>
    <xf numFmtId="2" fontId="35" fillId="0" borderId="26" xfId="0" applyNumberFormat="1" applyFont="1" applyBorder="1" applyAlignment="1">
      <alignment vertical="center" wrapText="1"/>
    </xf>
    <xf numFmtId="166" fontId="35" fillId="0" borderId="26" xfId="0" applyNumberFormat="1" applyFont="1" applyBorder="1" applyAlignment="1">
      <alignment vertical="center" wrapText="1"/>
    </xf>
    <xf numFmtId="166" fontId="35" fillId="0" borderId="27" xfId="0" applyNumberFormat="1" applyFont="1" applyBorder="1" applyAlignment="1">
      <alignment vertical="center" wrapText="1"/>
    </xf>
    <xf numFmtId="166" fontId="3" fillId="0" borderId="16" xfId="0" applyNumberFormat="1" applyFont="1" applyBorder="1" applyAlignment="1">
      <alignment vertical="center" wrapText="1"/>
    </xf>
    <xf numFmtId="0" fontId="0" fillId="0" borderId="1" xfId="0" applyBorder="1"/>
    <xf numFmtId="165" fontId="17" fillId="0" borderId="1" xfId="0" applyNumberFormat="1" applyFont="1" applyBorder="1" applyAlignment="1">
      <alignment vertical="center"/>
    </xf>
    <xf numFmtId="165" fontId="35" fillId="0" borderId="1" xfId="0" applyNumberFormat="1" applyFont="1" applyBorder="1" applyAlignment="1">
      <alignment vertical="center" wrapText="1"/>
    </xf>
    <xf numFmtId="0" fontId="15" fillId="0" borderId="1" xfId="0" applyFont="1" applyBorder="1" applyAlignment="1">
      <alignment vertical="center"/>
    </xf>
    <xf numFmtId="165" fontId="15" fillId="0" borderId="1" xfId="0" applyNumberFormat="1" applyFont="1" applyBorder="1" applyAlignment="1">
      <alignment vertical="center"/>
    </xf>
    <xf numFmtId="165" fontId="3" fillId="0" borderId="1" xfId="0" applyNumberFormat="1" applyFont="1" applyBorder="1" applyAlignment="1">
      <alignment vertical="center" wrapText="1"/>
    </xf>
    <xf numFmtId="166" fontId="42" fillId="0" borderId="1" xfId="0" applyNumberFormat="1" applyFont="1" applyBorder="1"/>
    <xf numFmtId="166" fontId="0" fillId="0" borderId="1" xfId="0" applyNumberFormat="1" applyBorder="1"/>
    <xf numFmtId="165" fontId="3" fillId="0" borderId="16" xfId="0" applyNumberFormat="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horizontal="center" vertical="center" wrapText="1"/>
    </xf>
    <xf numFmtId="165" fontId="35" fillId="0" borderId="20" xfId="0" applyNumberFormat="1" applyFont="1" applyBorder="1" applyAlignment="1">
      <alignment vertical="center" wrapText="1"/>
    </xf>
    <xf numFmtId="0" fontId="35" fillId="0" borderId="28" xfId="0" applyFont="1" applyBorder="1" applyAlignment="1">
      <alignment vertical="center" wrapText="1"/>
    </xf>
    <xf numFmtId="165" fontId="35" fillId="0" borderId="29" xfId="0" applyNumberFormat="1"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165" fontId="3" fillId="0" borderId="29" xfId="0" applyNumberFormat="1" applyFont="1" applyBorder="1" applyAlignment="1">
      <alignment vertical="center" wrapText="1"/>
    </xf>
    <xf numFmtId="0" fontId="3" fillId="0" borderId="30" xfId="0" applyFont="1" applyBorder="1" applyAlignment="1">
      <alignment vertical="center" wrapText="1"/>
    </xf>
    <xf numFmtId="0" fontId="35" fillId="0" borderId="34" xfId="0" applyFont="1" applyBorder="1" applyAlignment="1">
      <alignment vertical="center" wrapText="1"/>
    </xf>
    <xf numFmtId="0" fontId="35" fillId="0" borderId="6" xfId="0" applyFont="1" applyBorder="1" applyAlignment="1">
      <alignment horizontal="center" vertical="center" wrapText="1"/>
    </xf>
    <xf numFmtId="166" fontId="42" fillId="0" borderId="6" xfId="0" applyNumberFormat="1" applyFont="1" applyBorder="1"/>
    <xf numFmtId="165" fontId="17" fillId="0" borderId="6" xfId="0" applyNumberFormat="1" applyFont="1" applyBorder="1" applyAlignment="1">
      <alignment vertical="center"/>
    </xf>
    <xf numFmtId="165" fontId="35" fillId="0" borderId="6" xfId="0" applyNumberFormat="1" applyFont="1" applyBorder="1" applyAlignment="1">
      <alignment vertical="center" wrapText="1"/>
    </xf>
    <xf numFmtId="165" fontId="35" fillId="0" borderId="35" xfId="0" applyNumberFormat="1" applyFont="1" applyBorder="1" applyAlignment="1">
      <alignment vertical="center" wrapText="1"/>
    </xf>
    <xf numFmtId="0" fontId="3" fillId="0" borderId="19" xfId="0" applyFont="1" applyBorder="1" applyAlignment="1">
      <alignment horizontal="center" vertical="center" wrapText="1"/>
    </xf>
    <xf numFmtId="4" fontId="3" fillId="0" borderId="16" xfId="0" applyNumberFormat="1" applyFont="1" applyBorder="1" applyAlignment="1">
      <alignment vertical="center" wrapText="1"/>
    </xf>
    <xf numFmtId="2" fontId="21" fillId="2" borderId="1" xfId="0" applyNumberFormat="1" applyFont="1" applyFill="1" applyBorder="1" applyAlignment="1">
      <alignment horizontal="center" vertical="top" wrapText="1"/>
    </xf>
    <xf numFmtId="2" fontId="21" fillId="2" borderId="1" xfId="0" applyNumberFormat="1" applyFont="1" applyFill="1" applyBorder="1" applyAlignment="1">
      <alignment horizontal="center" vertical="top"/>
    </xf>
    <xf numFmtId="0" fontId="2" fillId="0" borderId="2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6" xfId="0" applyNumberFormat="1" applyFont="1" applyBorder="1" applyAlignment="1">
      <alignment vertical="center" wrapText="1"/>
    </xf>
    <xf numFmtId="4" fontId="2" fillId="0" borderId="1" xfId="0" applyNumberFormat="1"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1" fillId="2" borderId="6" xfId="0" applyFont="1" applyFill="1" applyBorder="1" applyAlignment="1">
      <alignment horizontal="left" vertical="top"/>
    </xf>
    <xf numFmtId="0" fontId="2" fillId="0" borderId="19"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4" fontId="2" fillId="0" borderId="6" xfId="0" applyNumberFormat="1" applyFont="1" applyBorder="1" applyAlignment="1">
      <alignment vertical="center" wrapText="1"/>
    </xf>
    <xf numFmtId="4" fontId="2" fillId="0" borderId="1" xfId="0" applyNumberFormat="1" applyFont="1" applyBorder="1" applyAlignment="1">
      <alignment vertical="center" wrapText="1"/>
    </xf>
    <xf numFmtId="4" fontId="2" fillId="0" borderId="2" xfId="0" applyNumberFormat="1" applyFont="1" applyBorder="1" applyAlignment="1">
      <alignment vertical="center" wrapText="1"/>
    </xf>
    <xf numFmtId="0" fontId="21" fillId="2" borderId="1" xfId="0" applyFont="1" applyFill="1" applyBorder="1" applyAlignment="1">
      <alignment vertical="top"/>
    </xf>
    <xf numFmtId="49" fontId="21" fillId="2" borderId="1" xfId="0" applyNumberFormat="1" applyFont="1" applyFill="1" applyBorder="1" applyAlignment="1">
      <alignment horizontal="center" vertical="top" wrapText="1"/>
    </xf>
    <xf numFmtId="49" fontId="0" fillId="0" borderId="0" xfId="0" applyNumberFormat="1"/>
    <xf numFmtId="0" fontId="2" fillId="0" borderId="21" xfId="0" applyFont="1" applyBorder="1" applyAlignment="1">
      <alignment vertical="center" wrapText="1"/>
    </xf>
    <xf numFmtId="4" fontId="2" fillId="0" borderId="20" xfId="0" applyNumberFormat="1" applyFont="1" applyBorder="1" applyAlignment="1">
      <alignment vertical="center" wrapText="1"/>
    </xf>
    <xf numFmtId="0" fontId="21" fillId="2" borderId="9" xfId="0" applyFont="1" applyFill="1" applyBorder="1" applyAlignment="1">
      <alignment horizontal="center" vertical="top" wrapText="1"/>
    </xf>
    <xf numFmtId="3" fontId="10" fillId="2" borderId="9"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11" xfId="0" applyNumberFormat="1" applyFont="1" applyFill="1" applyBorder="1" applyAlignment="1">
      <alignment horizontal="center" vertical="center" wrapText="1"/>
    </xf>
    <xf numFmtId="49" fontId="36" fillId="2" borderId="36" xfId="0" applyNumberFormat="1" applyFont="1" applyFill="1" applyBorder="1" applyAlignment="1">
      <alignment horizontal="center" vertical="center" wrapText="1"/>
    </xf>
    <xf numFmtId="4" fontId="2" fillId="0" borderId="32" xfId="0" applyNumberFormat="1" applyFont="1" applyBorder="1" applyAlignment="1">
      <alignment vertical="center" wrapText="1"/>
    </xf>
    <xf numFmtId="4" fontId="2" fillId="0" borderId="37" xfId="0" applyNumberFormat="1" applyFont="1" applyBorder="1" applyAlignment="1">
      <alignment vertical="center" wrapText="1"/>
    </xf>
    <xf numFmtId="0" fontId="21" fillId="2" borderId="38" xfId="0" applyFont="1" applyFill="1" applyBorder="1" applyAlignment="1">
      <alignment vertical="top" wrapText="1"/>
    </xf>
    <xf numFmtId="0" fontId="21" fillId="2" borderId="39" xfId="0" applyFont="1" applyFill="1" applyBorder="1" applyAlignment="1">
      <alignment horizontal="center" vertical="top" wrapText="1"/>
    </xf>
    <xf numFmtId="3" fontId="10" fillId="2" borderId="39" xfId="0" applyNumberFormat="1" applyFont="1" applyFill="1" applyBorder="1" applyAlignment="1">
      <alignment horizontal="center" vertical="center" wrapText="1"/>
    </xf>
    <xf numFmtId="4" fontId="21" fillId="2" borderId="39" xfId="0" applyNumberFormat="1" applyFont="1" applyFill="1" applyBorder="1" applyAlignment="1">
      <alignment horizontal="center" vertical="center" wrapText="1"/>
    </xf>
    <xf numFmtId="4" fontId="2" fillId="0" borderId="39" xfId="0" applyNumberFormat="1" applyFont="1" applyBorder="1" applyAlignment="1">
      <alignment vertical="center" wrapText="1"/>
    </xf>
    <xf numFmtId="4" fontId="2" fillId="0" borderId="40" xfId="0" applyNumberFormat="1" applyFont="1" applyBorder="1" applyAlignment="1">
      <alignment vertical="center" wrapText="1"/>
    </xf>
    <xf numFmtId="0" fontId="21" fillId="2" borderId="28" xfId="0" applyFont="1" applyFill="1" applyBorder="1" applyAlignment="1">
      <alignment vertical="top" wrapText="1"/>
    </xf>
    <xf numFmtId="4" fontId="2" fillId="0" borderId="29" xfId="0" applyNumberFormat="1" applyFont="1" applyBorder="1" applyAlignment="1">
      <alignment vertical="center" wrapText="1"/>
    </xf>
    <xf numFmtId="0" fontId="21" fillId="2" borderId="28" xfId="0" applyFont="1" applyFill="1" applyBorder="1" applyAlignment="1">
      <alignment vertical="top"/>
    </xf>
    <xf numFmtId="49" fontId="21" fillId="2" borderId="28" xfId="0" applyNumberFormat="1" applyFont="1" applyFill="1" applyBorder="1" applyAlignment="1">
      <alignment vertical="top" wrapText="1"/>
    </xf>
    <xf numFmtId="0" fontId="21" fillId="2" borderId="30" xfId="0" applyFont="1" applyFill="1" applyBorder="1" applyAlignment="1">
      <alignment vertical="top" wrapText="1"/>
    </xf>
    <xf numFmtId="0" fontId="21" fillId="2" borderId="31" xfId="0" applyFont="1" applyFill="1" applyBorder="1" applyAlignment="1">
      <alignment horizontal="center" vertical="top" wrapText="1"/>
    </xf>
    <xf numFmtId="3" fontId="10" fillId="2" borderId="31"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4" fontId="2" fillId="0" borderId="31" xfId="0" applyNumberFormat="1" applyFont="1" applyBorder="1" applyAlignment="1">
      <alignment vertical="center" wrapText="1"/>
    </xf>
    <xf numFmtId="4" fontId="2" fillId="0" borderId="33" xfId="0" applyNumberFormat="1" applyFont="1" applyBorder="1" applyAlignment="1">
      <alignment vertical="center" wrapText="1"/>
    </xf>
    <xf numFmtId="4" fontId="10" fillId="2" borderId="39" xfId="0" applyNumberFormat="1" applyFont="1" applyFill="1"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wrapText="1"/>
    </xf>
    <xf numFmtId="4" fontId="1" fillId="0" borderId="20" xfId="0" applyNumberFormat="1"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15" fillId="2" borderId="3" xfId="0" applyFont="1" applyFill="1" applyBorder="1" applyAlignment="1">
      <alignment vertical="top" wrapText="1"/>
    </xf>
    <xf numFmtId="0" fontId="0" fillId="2" borderId="0" xfId="0" applyFill="1"/>
    <xf numFmtId="0" fontId="15" fillId="2" borderId="1" xfId="0" applyFont="1" applyFill="1" applyBorder="1" applyAlignment="1">
      <alignment vertical="top" wrapText="1"/>
    </xf>
    <xf numFmtId="0" fontId="21" fillId="2" borderId="12" xfId="0" applyFont="1" applyFill="1" applyBorder="1" applyAlignment="1">
      <alignment vertical="top" wrapText="1"/>
    </xf>
    <xf numFmtId="4" fontId="21" fillId="2" borderId="9" xfId="0" applyNumberFormat="1" applyFont="1" applyFill="1" applyBorder="1" applyAlignment="1">
      <alignment horizontal="left" vertical="top"/>
    </xf>
    <xf numFmtId="4" fontId="2" fillId="2" borderId="2" xfId="0" applyNumberFormat="1" applyFont="1" applyFill="1" applyBorder="1" applyAlignment="1">
      <alignment horizontal="center" vertical="center" wrapText="1"/>
    </xf>
    <xf numFmtId="0" fontId="15" fillId="2" borderId="14" xfId="0" applyFont="1" applyFill="1" applyBorder="1" applyAlignment="1">
      <alignment vertical="top" wrapText="1"/>
    </xf>
    <xf numFmtId="0" fontId="15" fillId="2" borderId="6" xfId="0" applyFont="1" applyFill="1" applyBorder="1" applyAlignment="1">
      <alignment vertical="top" wrapText="1"/>
    </xf>
    <xf numFmtId="0" fontId="21" fillId="2" borderId="6" xfId="0" applyFont="1" applyFill="1" applyBorder="1" applyAlignment="1">
      <alignment horizontal="center" vertical="top"/>
    </xf>
    <xf numFmtId="4" fontId="2" fillId="2" borderId="6" xfId="0" applyNumberFormat="1" applyFont="1" applyFill="1" applyBorder="1" applyAlignment="1">
      <alignment horizontal="center" vertical="center" wrapText="1"/>
    </xf>
    <xf numFmtId="0" fontId="1" fillId="0" borderId="16"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vertical="center" wrapText="1"/>
    </xf>
    <xf numFmtId="4" fontId="21" fillId="2" borderId="1" xfId="2" applyNumberFormat="1" applyFont="1" applyFill="1" applyBorder="1" applyAlignment="1">
      <alignment horizontal="center" vertical="top" wrapText="1"/>
    </xf>
    <xf numFmtId="4" fontId="3" fillId="0" borderId="1" xfId="0" applyNumberFormat="1" applyFont="1" applyBorder="1" applyAlignment="1">
      <alignment horizontal="center" vertical="center" wrapText="1"/>
    </xf>
    <xf numFmtId="0" fontId="3" fillId="0" borderId="22" xfId="0" applyFont="1" applyBorder="1" applyAlignment="1">
      <alignment horizontal="center" vertical="center" wrapText="1"/>
    </xf>
    <xf numFmtId="4" fontId="35" fillId="0" borderId="1" xfId="0" applyNumberFormat="1" applyFont="1" applyBorder="1" applyAlignment="1">
      <alignment vertical="center" wrapText="1"/>
    </xf>
    <xf numFmtId="0" fontId="34" fillId="0" borderId="0" xfId="0" applyFont="1"/>
    <xf numFmtId="0" fontId="35" fillId="0" borderId="0" xfId="0" applyFont="1" applyBorder="1" applyAlignment="1">
      <alignment vertical="center" wrapText="1"/>
    </xf>
    <xf numFmtId="4" fontId="35" fillId="0" borderId="0" xfId="0" applyNumberFormat="1" applyFont="1" applyBorder="1" applyAlignment="1">
      <alignment vertical="center" wrapText="1"/>
    </xf>
    <xf numFmtId="2" fontId="35" fillId="0" borderId="0" xfId="0" applyNumberFormat="1" applyFont="1" applyBorder="1" applyAlignment="1">
      <alignment vertical="center" wrapText="1"/>
    </xf>
    <xf numFmtId="166" fontId="35" fillId="0" borderId="0" xfId="0" applyNumberFormat="1" applyFont="1" applyBorder="1" applyAlignment="1">
      <alignment vertical="center" wrapText="1"/>
    </xf>
    <xf numFmtId="0" fontId="36" fillId="2" borderId="1" xfId="0" applyFont="1" applyFill="1" applyBorder="1" applyAlignment="1">
      <alignment vertical="top"/>
    </xf>
    <xf numFmtId="0" fontId="35" fillId="0" borderId="15" xfId="0" applyFont="1" applyBorder="1" applyAlignment="1">
      <alignment vertical="center" wrapText="1"/>
    </xf>
    <xf numFmtId="0" fontId="35" fillId="0" borderId="16" xfId="0" applyFont="1" applyBorder="1" applyAlignment="1">
      <alignment horizontal="center" vertical="center" wrapText="1"/>
    </xf>
    <xf numFmtId="4" fontId="35" fillId="0" borderId="16" xfId="0" applyNumberFormat="1" applyFont="1" applyBorder="1" applyAlignment="1">
      <alignment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0" fontId="1" fillId="0" borderId="1" xfId="0" applyFont="1" applyBorder="1" applyAlignment="1">
      <alignment horizontal="left" wrapText="1"/>
    </xf>
    <xf numFmtId="49" fontId="1" fillId="2" borderId="1" xfId="0" applyNumberFormat="1" applyFont="1" applyFill="1" applyBorder="1" applyAlignment="1">
      <alignment horizontal="center" vertical="top" wrapText="1"/>
    </xf>
    <xf numFmtId="49" fontId="46" fillId="2"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49" fontId="1" fillId="2" borderId="1" xfId="0" applyNumberFormat="1" applyFont="1" applyFill="1" applyBorder="1" applyAlignment="1">
      <alignment horizontal="center" vertical="center" wrapText="1"/>
    </xf>
    <xf numFmtId="4" fontId="35" fillId="2" borderId="1" xfId="0" applyNumberFormat="1" applyFont="1" applyFill="1" applyBorder="1" applyAlignment="1">
      <alignment horizontal="center" vertical="center" wrapText="1"/>
    </xf>
    <xf numFmtId="0" fontId="35" fillId="2" borderId="1" xfId="0" applyFont="1" applyFill="1" applyBorder="1" applyAlignment="1">
      <alignment vertical="top" wrapText="1"/>
    </xf>
    <xf numFmtId="49" fontId="35" fillId="2" borderId="1" xfId="0" applyNumberFormat="1" applyFont="1" applyFill="1" applyBorder="1" applyAlignment="1">
      <alignment horizontal="center" vertical="top" wrapText="1"/>
    </xf>
    <xf numFmtId="49" fontId="35"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1" xfId="0" applyNumberFormat="1" applyFont="1" applyBorder="1"/>
    <xf numFmtId="0" fontId="8" fillId="0" borderId="0" xfId="0" applyFont="1" applyAlignment="1">
      <alignment horizontal="left"/>
    </xf>
    <xf numFmtId="0" fontId="47" fillId="0" borderId="0" xfId="0" applyFont="1" applyAlignment="1"/>
    <xf numFmtId="0" fontId="47" fillId="0" borderId="0" xfId="0" applyFont="1" applyAlignment="1">
      <alignment vertical="center"/>
    </xf>
    <xf numFmtId="0" fontId="0" fillId="0" borderId="7" xfId="0" applyBorder="1"/>
    <xf numFmtId="0" fontId="47" fillId="0" borderId="0" xfId="0" applyFont="1" applyAlignment="1">
      <alignment horizontal="left"/>
    </xf>
    <xf numFmtId="0" fontId="47" fillId="0" borderId="7" xfId="0" applyFont="1" applyBorder="1" applyAlignment="1"/>
    <xf numFmtId="0" fontId="47" fillId="0" borderId="0" xfId="0" applyFont="1" applyBorder="1" applyAlignment="1"/>
    <xf numFmtId="0" fontId="0" fillId="0" borderId="0" xfId="0" applyBorder="1"/>
    <xf numFmtId="166" fontId="6" fillId="0" borderId="1" xfId="1" applyFont="1" applyBorder="1" applyAlignment="1">
      <alignment vertical="top" wrapText="1"/>
    </xf>
    <xf numFmtId="0" fontId="47" fillId="0" borderId="7" xfId="0" applyFont="1" applyBorder="1" applyAlignment="1">
      <alignment horizontal="center"/>
    </xf>
    <xf numFmtId="0" fontId="8" fillId="0" borderId="0" xfId="0" applyFont="1" applyAlignment="1"/>
    <xf numFmtId="0" fontId="11" fillId="0" borderId="1" xfId="0" applyFont="1" applyBorder="1" applyAlignment="1">
      <alignment horizontal="center"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166" fontId="11" fillId="0" borderId="1" xfId="1" applyFont="1" applyBorder="1" applyAlignment="1">
      <alignment vertical="top" wrapText="1"/>
    </xf>
    <xf numFmtId="0" fontId="10" fillId="2" borderId="1" xfId="0" applyFont="1" applyFill="1" applyBorder="1" applyAlignment="1">
      <alignment horizontal="left" wrapText="1"/>
    </xf>
    <xf numFmtId="2"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top" wrapText="1"/>
    </xf>
    <xf numFmtId="2" fontId="10" fillId="2" borderId="1" xfId="0" applyNumberFormat="1" applyFont="1" applyFill="1" applyBorder="1" applyAlignment="1">
      <alignment horizontal="center" vertical="top"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166" fontId="6" fillId="0" borderId="1" xfId="0" applyNumberFormat="1" applyFont="1" applyBorder="1" applyAlignment="1">
      <alignment vertical="top" wrapText="1"/>
    </xf>
    <xf numFmtId="0" fontId="21" fillId="0" borderId="0" xfId="0" applyFont="1" applyFill="1" applyAlignment="1">
      <alignment horizontal="left" vertical="top"/>
    </xf>
    <xf numFmtId="0" fontId="21" fillId="0" borderId="0" xfId="0" applyFont="1" applyFill="1" applyBorder="1" applyAlignment="1">
      <alignment horizontal="left" vertical="top"/>
    </xf>
    <xf numFmtId="49" fontId="21" fillId="0" borderId="0" xfId="0" applyNumberFormat="1" applyFont="1" applyFill="1" applyBorder="1" applyAlignment="1">
      <alignment horizontal="left" vertical="top"/>
    </xf>
    <xf numFmtId="49" fontId="21" fillId="0" borderId="4" xfId="1" applyNumberFormat="1" applyFont="1" applyFill="1" applyBorder="1" applyAlignment="1">
      <alignment vertical="top"/>
    </xf>
    <xf numFmtId="49" fontId="21" fillId="0" borderId="0" xfId="1" applyNumberFormat="1" applyFont="1" applyFill="1" applyBorder="1" applyAlignment="1">
      <alignment horizontal="left" vertical="top"/>
    </xf>
    <xf numFmtId="49" fontId="21" fillId="0" borderId="4" xfId="1" applyNumberFormat="1" applyFont="1" applyFill="1" applyBorder="1" applyAlignment="1">
      <alignment horizontal="left" vertical="top"/>
    </xf>
    <xf numFmtId="0" fontId="36" fillId="0" borderId="0" xfId="0" applyFont="1" applyFill="1" applyAlignment="1">
      <alignment horizontal="left" vertical="top"/>
    </xf>
    <xf numFmtId="166" fontId="21" fillId="0" borderId="1" xfId="0" applyNumberFormat="1" applyFont="1" applyFill="1" applyBorder="1" applyAlignment="1">
      <alignment horizontal="left" vertical="top"/>
    </xf>
    <xf numFmtId="165" fontId="21" fillId="0" borderId="0" xfId="0" applyNumberFormat="1" applyFont="1" applyFill="1" applyAlignment="1">
      <alignment horizontal="left" vertical="top"/>
    </xf>
    <xf numFmtId="166" fontId="21" fillId="0" borderId="1" xfId="1" applyFont="1" applyFill="1" applyBorder="1" applyAlignment="1">
      <alignment horizontal="left" vertical="top"/>
    </xf>
    <xf numFmtId="0" fontId="0" fillId="0" borderId="0" xfId="0" applyBorder="1" applyAlignment="1"/>
    <xf numFmtId="0" fontId="47" fillId="0" borderId="0" xfId="0" applyFont="1" applyBorder="1" applyAlignment="1">
      <alignment horizontal="center" wrapText="1"/>
    </xf>
    <xf numFmtId="0" fontId="47" fillId="0" borderId="0" xfId="0" applyFont="1"/>
    <xf numFmtId="0" fontId="47" fillId="0" borderId="4" xfId="0" applyFont="1" applyBorder="1"/>
    <xf numFmtId="0" fontId="0" fillId="0" borderId="4" xfId="0" applyBorder="1"/>
    <xf numFmtId="0" fontId="0" fillId="0" borderId="7" xfId="0" applyBorder="1" applyAlignment="1"/>
    <xf numFmtId="0" fontId="47" fillId="0" borderId="7" xfId="0" applyFont="1" applyBorder="1" applyAlignment="1">
      <alignment horizontal="center" wrapText="1"/>
    </xf>
    <xf numFmtId="0" fontId="47" fillId="0" borderId="0" xfId="0" applyFont="1" applyAlignment="1">
      <alignment horizontal="left" wrapText="1"/>
    </xf>
    <xf numFmtId="0" fontId="10" fillId="2" borderId="6" xfId="0" applyFont="1" applyFill="1" applyBorder="1" applyAlignment="1">
      <alignment vertical="center" wrapText="1"/>
    </xf>
    <xf numFmtId="0" fontId="10" fillId="2" borderId="6" xfId="0" applyFont="1" applyFill="1" applyBorder="1" applyAlignment="1">
      <alignment horizontal="center" vertical="center" wrapText="1"/>
    </xf>
    <xf numFmtId="0" fontId="8" fillId="0" borderId="0" xfId="0" applyFont="1"/>
    <xf numFmtId="0" fontId="6" fillId="0" borderId="0" xfId="0" applyFont="1" applyBorder="1" applyAlignment="1">
      <alignment vertical="top" wrapText="1"/>
    </xf>
    <xf numFmtId="166" fontId="6" fillId="0" borderId="0" xfId="0" applyNumberFormat="1" applyFont="1" applyBorder="1" applyAlignment="1">
      <alignment vertical="top" wrapText="1"/>
    </xf>
    <xf numFmtId="164" fontId="0" fillId="0" borderId="0" xfId="0" applyNumberFormat="1"/>
    <xf numFmtId="0" fontId="10" fillId="2" borderId="44" xfId="0" applyFont="1" applyFill="1" applyBorder="1"/>
    <xf numFmtId="0" fontId="10" fillId="2" borderId="44" xfId="0" applyFont="1" applyFill="1" applyBorder="1" applyAlignment="1">
      <alignment horizontal="center" vertical="top" wrapText="1"/>
    </xf>
    <xf numFmtId="2" fontId="10" fillId="2" borderId="44" xfId="0" applyNumberFormat="1" applyFont="1" applyFill="1" applyBorder="1" applyAlignment="1">
      <alignment horizontal="center" vertical="top" wrapText="1"/>
    </xf>
    <xf numFmtId="0" fontId="10" fillId="2" borderId="45" xfId="0" applyFont="1" applyFill="1" applyBorder="1"/>
    <xf numFmtId="0" fontId="10" fillId="2" borderId="45" xfId="0" applyFont="1" applyFill="1" applyBorder="1" applyAlignment="1">
      <alignment horizontal="center" vertical="top" wrapText="1"/>
    </xf>
    <xf numFmtId="2" fontId="10" fillId="2" borderId="45" xfId="0" applyNumberFormat="1" applyFont="1" applyFill="1" applyBorder="1" applyAlignment="1">
      <alignment horizontal="center" vertical="top" wrapText="1"/>
    </xf>
    <xf numFmtId="0" fontId="10" fillId="2" borderId="44" xfId="0" applyFont="1" applyFill="1" applyBorder="1" applyAlignment="1">
      <alignment horizontal="left" wrapText="1"/>
    </xf>
    <xf numFmtId="0" fontId="10" fillId="2" borderId="44" xfId="0" applyFont="1" applyFill="1" applyBorder="1" applyAlignment="1">
      <alignment horizontal="center" vertical="center" wrapText="1"/>
    </xf>
    <xf numFmtId="2" fontId="10" fillId="2" borderId="44" xfId="0" applyNumberFormat="1" applyFont="1" applyFill="1" applyBorder="1" applyAlignment="1">
      <alignment horizontal="center" vertical="center" wrapText="1"/>
    </xf>
    <xf numFmtId="0" fontId="10" fillId="2" borderId="44" xfId="0" applyFont="1" applyFill="1" applyBorder="1" applyAlignment="1">
      <alignment wrapText="1"/>
    </xf>
    <xf numFmtId="0" fontId="10" fillId="10" borderId="1" xfId="0" applyFont="1" applyFill="1" applyBorder="1" applyAlignment="1">
      <alignment wrapText="1"/>
    </xf>
    <xf numFmtId="0" fontId="48" fillId="2" borderId="1" xfId="0" applyFont="1" applyFill="1" applyBorder="1" applyAlignment="1">
      <alignment horizontal="left" wrapText="1"/>
    </xf>
    <xf numFmtId="0" fontId="48" fillId="2" borderId="1" xfId="0" applyFont="1" applyFill="1" applyBorder="1" applyAlignment="1">
      <alignment horizontal="center"/>
    </xf>
    <xf numFmtId="2" fontId="10" fillId="2" borderId="1" xfId="0" applyNumberFormat="1" applyFont="1" applyFill="1" applyBorder="1" applyAlignment="1">
      <alignment horizontal="center"/>
    </xf>
    <xf numFmtId="0" fontId="10" fillId="2" borderId="0" xfId="0" applyFont="1" applyFill="1" applyBorder="1" applyAlignment="1">
      <alignment wrapText="1"/>
    </xf>
    <xf numFmtId="0" fontId="10" fillId="2" borderId="0" xfId="0" applyFont="1" applyFill="1" applyAlignment="1">
      <alignment wrapText="1"/>
    </xf>
    <xf numFmtId="0" fontId="10" fillId="2" borderId="44" xfId="0" applyFont="1" applyFill="1" applyBorder="1" applyAlignment="1">
      <alignment horizontal="center"/>
    </xf>
    <xf numFmtId="2" fontId="10" fillId="2" borderId="46" xfId="0" applyNumberFormat="1" applyFont="1" applyFill="1" applyBorder="1" applyAlignment="1">
      <alignment horizontal="center"/>
    </xf>
    <xf numFmtId="0" fontId="48" fillId="10" borderId="47" xfId="4" applyFont="1" applyFill="1" applyBorder="1" applyAlignment="1">
      <alignment horizontal="center"/>
    </xf>
    <xf numFmtId="2" fontId="48" fillId="10" borderId="48" xfId="4" applyNumberFormat="1" applyFont="1" applyFill="1" applyBorder="1" applyAlignment="1">
      <alignment horizontal="center"/>
    </xf>
    <xf numFmtId="0" fontId="47" fillId="0" borderId="0" xfId="0" applyFont="1" applyBorder="1" applyAlignment="1">
      <alignment horizontal="center"/>
    </xf>
    <xf numFmtId="49" fontId="47" fillId="0" borderId="7" xfId="0" applyNumberFormat="1" applyFont="1" applyBorder="1" applyAlignment="1"/>
    <xf numFmtId="2" fontId="11" fillId="0" borderId="1" xfId="0" applyNumberFormat="1" applyFont="1" applyBorder="1" applyAlignment="1">
      <alignment vertical="top" wrapText="1"/>
    </xf>
    <xf numFmtId="169" fontId="11" fillId="0" borderId="1" xfId="1" applyNumberFormat="1" applyFont="1" applyBorder="1" applyAlignment="1">
      <alignment vertical="top" wrapText="1"/>
    </xf>
    <xf numFmtId="166" fontId="11" fillId="0" borderId="1" xfId="0" applyNumberFormat="1" applyFont="1" applyBorder="1" applyAlignment="1">
      <alignment vertical="top" wrapText="1"/>
    </xf>
    <xf numFmtId="0" fontId="6" fillId="0" borderId="2" xfId="0" applyFont="1" applyBorder="1" applyAlignment="1">
      <alignment vertical="top" wrapText="1"/>
    </xf>
    <xf numFmtId="0" fontId="6" fillId="0" borderId="1" xfId="0" applyFont="1" applyBorder="1" applyAlignment="1">
      <alignment horizontal="left" wrapText="1"/>
    </xf>
    <xf numFmtId="166" fontId="6" fillId="0" borderId="1" xfId="1" applyNumberFormat="1" applyFont="1" applyBorder="1" applyAlignment="1">
      <alignment horizontal="center" wrapText="1"/>
    </xf>
    <xf numFmtId="166" fontId="6" fillId="0" borderId="1" xfId="1" applyFont="1" applyBorder="1" applyAlignment="1">
      <alignment horizontal="center" wrapText="1"/>
    </xf>
    <xf numFmtId="166" fontId="11" fillId="2" borderId="1" xfId="1" applyFont="1" applyFill="1" applyBorder="1" applyAlignment="1">
      <alignment vertical="top" wrapText="1"/>
    </xf>
    <xf numFmtId="0" fontId="6" fillId="2" borderId="1" xfId="0" applyFont="1" applyFill="1" applyBorder="1" applyAlignment="1">
      <alignment vertical="top" wrapText="1"/>
    </xf>
    <xf numFmtId="0" fontId="50" fillId="2" borderId="1" xfId="4" applyFont="1" applyFill="1" applyBorder="1" applyAlignment="1">
      <alignment vertical="center" wrapText="1"/>
    </xf>
    <xf numFmtId="4" fontId="50" fillId="2" borderId="1" xfId="4" applyNumberFormat="1" applyFont="1" applyFill="1" applyBorder="1" applyAlignment="1">
      <alignment horizontal="center" vertical="center" wrapText="1"/>
    </xf>
    <xf numFmtId="0" fontId="15" fillId="2" borderId="1" xfId="5" applyFont="1" applyFill="1" applyBorder="1" applyAlignment="1">
      <alignment horizontal="center" vertical="center" wrapText="1"/>
    </xf>
    <xf numFmtId="0" fontId="15" fillId="2" borderId="1" xfId="5" applyFont="1" applyFill="1" applyBorder="1" applyAlignment="1">
      <alignment vertical="center" wrapText="1"/>
    </xf>
    <xf numFmtId="4" fontId="15" fillId="2" borderId="1" xfId="5" applyNumberFormat="1" applyFont="1" applyFill="1" applyBorder="1" applyAlignment="1">
      <alignment horizontal="center" vertical="center" wrapText="1"/>
    </xf>
    <xf numFmtId="0" fontId="15" fillId="2" borderId="1" xfId="5" applyFont="1" applyFill="1" applyBorder="1" applyAlignment="1">
      <alignment horizontal="left" vertical="center" wrapText="1"/>
    </xf>
    <xf numFmtId="0" fontId="15" fillId="2" borderId="1" xfId="5" applyFont="1" applyFill="1" applyBorder="1" applyAlignment="1">
      <alignment horizontal="center" vertical="center"/>
    </xf>
    <xf numFmtId="0" fontId="54" fillId="2" borderId="1" xfId="5" applyFont="1" applyFill="1" applyBorder="1" applyAlignment="1">
      <alignment horizontal="left" vertical="center" wrapText="1"/>
    </xf>
    <xf numFmtId="0" fontId="54" fillId="2" borderId="1" xfId="5" applyFont="1" applyFill="1" applyBorder="1" applyAlignment="1">
      <alignment horizontal="center" vertical="center" wrapText="1"/>
    </xf>
    <xf numFmtId="0" fontId="15" fillId="2" borderId="1" xfId="5" applyFont="1" applyFill="1" applyBorder="1" applyAlignment="1">
      <alignment vertical="center" wrapText="1" shrinkToFit="1"/>
    </xf>
    <xf numFmtId="0" fontId="32" fillId="2" borderId="1" xfId="5" applyFont="1" applyFill="1" applyBorder="1" applyAlignment="1">
      <alignment horizontal="center" vertical="center"/>
    </xf>
    <xf numFmtId="2" fontId="15" fillId="2" borderId="1" xfId="5" applyNumberFormat="1" applyFont="1" applyFill="1" applyBorder="1" applyAlignment="1">
      <alignment horizontal="center" vertical="center"/>
    </xf>
    <xf numFmtId="4" fontId="55" fillId="2" borderId="1" xfId="5" applyNumberFormat="1" applyFont="1" applyFill="1" applyBorder="1" applyAlignment="1">
      <alignment horizontal="center" vertical="center" wrapText="1"/>
    </xf>
    <xf numFmtId="0" fontId="15" fillId="2" borderId="1" xfId="5" applyFont="1" applyFill="1" applyBorder="1" applyAlignment="1">
      <alignment horizontal="justify" vertical="center"/>
    </xf>
    <xf numFmtId="0" fontId="55" fillId="2" borderId="1" xfId="5" applyFont="1" applyFill="1" applyBorder="1" applyAlignment="1">
      <alignment horizontal="center" vertical="center" wrapText="1"/>
    </xf>
    <xf numFmtId="0" fontId="56" fillId="2" borderId="1" xfId="5" applyFont="1" applyFill="1" applyBorder="1" applyAlignment="1">
      <alignment horizontal="center" vertical="center" wrapText="1"/>
    </xf>
    <xf numFmtId="0" fontId="56" fillId="2" borderId="1" xfId="5" applyFont="1" applyFill="1" applyBorder="1" applyAlignment="1">
      <alignment horizontal="right" vertical="center" wrapText="1"/>
    </xf>
    <xf numFmtId="0" fontId="55" fillId="10" borderId="1" xfId="5" applyFont="1" applyFill="1" applyBorder="1" applyAlignment="1">
      <alignment horizontal="center" vertical="center" wrapText="1"/>
    </xf>
    <xf numFmtId="4" fontId="55" fillId="10" borderId="1" xfId="5" applyNumberFormat="1" applyFont="1" applyFill="1" applyBorder="1" applyAlignment="1">
      <alignment horizontal="center" vertical="center" wrapText="1"/>
    </xf>
    <xf numFmtId="0" fontId="56" fillId="2" borderId="1" xfId="5" applyFont="1" applyFill="1" applyBorder="1" applyAlignment="1">
      <alignment horizontal="center" vertical="center"/>
    </xf>
    <xf numFmtId="0" fontId="56" fillId="2" borderId="1" xfId="5" applyFont="1" applyFill="1" applyBorder="1" applyAlignment="1">
      <alignment horizontal="right" vertical="center"/>
    </xf>
    <xf numFmtId="4" fontId="55" fillId="2" borderId="1" xfId="5" applyNumberFormat="1" applyFont="1" applyFill="1" applyBorder="1" applyAlignment="1">
      <alignment horizontal="center" vertical="center"/>
    </xf>
    <xf numFmtId="0" fontId="56" fillId="2" borderId="3" xfId="5" applyFont="1" applyFill="1" applyBorder="1" applyAlignment="1">
      <alignment horizontal="center" vertical="center"/>
    </xf>
    <xf numFmtId="0" fontId="56" fillId="2" borderId="4" xfId="5" applyFont="1" applyFill="1" applyBorder="1" applyAlignment="1">
      <alignment horizontal="right" vertical="center"/>
    </xf>
    <xf numFmtId="0" fontId="56" fillId="2" borderId="4" xfId="5" applyFont="1" applyFill="1" applyBorder="1" applyAlignment="1">
      <alignment horizontal="center" vertical="center"/>
    </xf>
    <xf numFmtId="166" fontId="6" fillId="0" borderId="1" xfId="1" applyFont="1" applyBorder="1" applyAlignment="1">
      <alignment horizontal="center" vertical="top" wrapText="1"/>
    </xf>
    <xf numFmtId="0" fontId="6" fillId="0" borderId="0" xfId="0" applyFont="1" applyBorder="1" applyAlignment="1">
      <alignment horizontal="center" vertical="top" wrapText="1"/>
    </xf>
    <xf numFmtId="166" fontId="6" fillId="0" borderId="0" xfId="1" applyFont="1" applyBorder="1" applyAlignment="1">
      <alignment horizontal="center" wrapText="1"/>
    </xf>
    <xf numFmtId="166" fontId="6" fillId="0" borderId="1" xfId="0" applyNumberFormat="1" applyFont="1" applyBorder="1" applyAlignment="1">
      <alignment horizontal="center" wrapText="1"/>
    </xf>
    <xf numFmtId="0" fontId="47" fillId="0" borderId="0" xfId="0" applyFont="1" applyAlignment="1">
      <alignment horizontal="left" vertical="top" wrapText="1"/>
    </xf>
    <xf numFmtId="0" fontId="50" fillId="0" borderId="1" xfId="4" applyFont="1" applyFill="1" applyBorder="1"/>
    <xf numFmtId="0" fontId="50" fillId="0" borderId="1" xfId="4" applyFont="1" applyFill="1" applyBorder="1" applyAlignment="1">
      <alignment horizontal="center"/>
    </xf>
    <xf numFmtId="4" fontId="50" fillId="0" borderId="1" xfId="4" applyNumberFormat="1" applyFont="1" applyFill="1" applyBorder="1" applyAlignment="1">
      <alignment horizontal="center"/>
    </xf>
    <xf numFmtId="4" fontId="50" fillId="0" borderId="1" xfId="4" applyNumberFormat="1" applyFont="1" applyFill="1" applyBorder="1" applyAlignment="1"/>
    <xf numFmtId="0" fontId="50" fillId="0" borderId="1" xfId="4" applyNumberFormat="1" applyFont="1" applyFill="1" applyBorder="1" applyAlignment="1">
      <alignment horizontal="center"/>
    </xf>
    <xf numFmtId="2" fontId="17" fillId="0" borderId="1" xfId="5" applyNumberFormat="1" applyFont="1" applyFill="1" applyBorder="1" applyAlignment="1">
      <alignment horizontal="center"/>
    </xf>
    <xf numFmtId="0" fontId="54" fillId="2" borderId="49" xfId="4" applyFont="1" applyFill="1" applyBorder="1" applyAlignment="1">
      <alignment horizontal="center" vertical="center"/>
    </xf>
    <xf numFmtId="0" fontId="15" fillId="2" borderId="1" xfId="5" applyNumberFormat="1" applyFont="1" applyFill="1" applyBorder="1" applyAlignment="1">
      <alignment horizontal="center" vertical="center"/>
    </xf>
    <xf numFmtId="4" fontId="55" fillId="3" borderId="1" xfId="5" applyNumberFormat="1" applyFont="1" applyFill="1" applyBorder="1" applyAlignment="1">
      <alignment horizontal="center" vertical="center"/>
    </xf>
    <xf numFmtId="0" fontId="25" fillId="3" borderId="0" xfId="0" applyFont="1" applyFill="1"/>
    <xf numFmtId="0" fontId="25" fillId="3" borderId="0" xfId="0" applyFont="1" applyFill="1" applyAlignment="1">
      <alignment vertical="top"/>
    </xf>
    <xf numFmtId="0" fontId="25" fillId="3" borderId="0" xfId="0" applyFont="1" applyFill="1" applyAlignment="1">
      <alignment horizontal="center" vertical="center"/>
    </xf>
    <xf numFmtId="0" fontId="50" fillId="3" borderId="1" xfId="4" applyFont="1" applyFill="1" applyBorder="1"/>
    <xf numFmtId="0" fontId="50" fillId="3" borderId="1" xfId="4" applyFont="1" applyFill="1" applyBorder="1" applyAlignment="1">
      <alignment horizontal="center"/>
    </xf>
    <xf numFmtId="4" fontId="50" fillId="3" borderId="1" xfId="4" applyNumberFormat="1" applyFont="1" applyFill="1" applyBorder="1" applyAlignment="1">
      <alignment horizontal="center"/>
    </xf>
    <xf numFmtId="4" fontId="50" fillId="3" borderId="1" xfId="4" applyNumberFormat="1" applyFont="1" applyFill="1" applyBorder="1" applyAlignment="1"/>
    <xf numFmtId="0" fontId="50" fillId="3" borderId="1" xfId="4" applyNumberFormat="1" applyFont="1" applyFill="1" applyBorder="1" applyAlignment="1">
      <alignment horizontal="center"/>
    </xf>
    <xf numFmtId="2" fontId="17" fillId="3" borderId="1" xfId="5" applyNumberFormat="1" applyFont="1" applyFill="1" applyBorder="1" applyAlignment="1">
      <alignment horizontal="center"/>
    </xf>
    <xf numFmtId="0" fontId="54" fillId="3" borderId="49" xfId="4" applyFont="1" applyFill="1" applyBorder="1" applyAlignment="1">
      <alignment horizontal="center" vertical="center"/>
    </xf>
    <xf numFmtId="0" fontId="15" fillId="3" borderId="1" xfId="5" applyFont="1" applyFill="1" applyBorder="1" applyAlignment="1">
      <alignment vertical="center" wrapText="1"/>
    </xf>
    <xf numFmtId="0" fontId="15" fillId="3" borderId="1" xfId="5" applyFont="1" applyFill="1" applyBorder="1" applyAlignment="1">
      <alignment horizontal="center" vertical="center"/>
    </xf>
    <xf numFmtId="4" fontId="15" fillId="3" borderId="1" xfId="5" applyNumberFormat="1" applyFont="1" applyFill="1" applyBorder="1" applyAlignment="1">
      <alignment horizontal="center" vertical="center"/>
    </xf>
    <xf numFmtId="0" fontId="15" fillId="3" borderId="1" xfId="5" applyFont="1" applyFill="1" applyBorder="1" applyAlignment="1">
      <alignment vertical="center"/>
    </xf>
    <xf numFmtId="0" fontId="15" fillId="3" borderId="1" xfId="5" applyNumberFormat="1" applyFont="1" applyFill="1" applyBorder="1" applyAlignment="1">
      <alignment horizontal="center" vertical="center"/>
    </xf>
    <xf numFmtId="2" fontId="15" fillId="3" borderId="1" xfId="5" applyNumberFormat="1" applyFont="1" applyFill="1" applyBorder="1" applyAlignment="1">
      <alignment horizontal="center" vertical="center"/>
    </xf>
    <xf numFmtId="0" fontId="55" fillId="3" borderId="1" xfId="5" applyFont="1" applyFill="1" applyBorder="1" applyAlignment="1">
      <alignment horizontal="center" vertical="center"/>
    </xf>
    <xf numFmtId="0" fontId="55" fillId="3" borderId="1" xfId="5" applyFont="1" applyFill="1" applyBorder="1" applyAlignment="1">
      <alignment vertical="center"/>
    </xf>
    <xf numFmtId="0" fontId="55" fillId="3" borderId="1" xfId="5" applyFont="1" applyFill="1" applyBorder="1" applyAlignment="1">
      <alignment horizontal="center" vertical="center" wrapText="1"/>
    </xf>
    <xf numFmtId="4" fontId="55" fillId="3" borderId="1" xfId="5" applyNumberFormat="1" applyFont="1" applyFill="1" applyBorder="1" applyAlignment="1">
      <alignment horizontal="center" vertical="center" wrapText="1"/>
    </xf>
    <xf numFmtId="2" fontId="55" fillId="3" borderId="1" xfId="5" applyNumberFormat="1" applyFont="1" applyFill="1" applyBorder="1" applyAlignment="1">
      <alignment horizontal="center" vertical="center"/>
    </xf>
    <xf numFmtId="0" fontId="55" fillId="3" borderId="1" xfId="5" applyNumberFormat="1" applyFont="1" applyFill="1" applyBorder="1" applyAlignment="1">
      <alignment horizontal="center" vertical="center"/>
    </xf>
    <xf numFmtId="49" fontId="6" fillId="0" borderId="7" xfId="0" applyNumberFormat="1" applyFont="1" applyBorder="1"/>
    <xf numFmtId="49" fontId="47" fillId="0" borderId="7" xfId="0" applyNumberFormat="1" applyFont="1" applyBorder="1"/>
    <xf numFmtId="0" fontId="6" fillId="0" borderId="1" xfId="0" applyFont="1" applyBorder="1" applyAlignment="1">
      <alignment horizontal="justify" vertical="top" wrapText="1"/>
    </xf>
    <xf numFmtId="166" fontId="6" fillId="0" borderId="1" xfId="1" applyFont="1" applyBorder="1" applyAlignment="1">
      <alignment horizontal="justify" vertical="top" wrapText="1"/>
    </xf>
    <xf numFmtId="49" fontId="47" fillId="0" borderId="4" xfId="0" applyNumberFormat="1" applyFont="1" applyBorder="1"/>
    <xf numFmtId="0" fontId="50" fillId="0" borderId="1" xfId="4" applyFont="1" applyFill="1" applyBorder="1" applyAlignment="1"/>
    <xf numFmtId="0" fontId="54" fillId="2" borderId="1" xfId="4" applyFont="1" applyFill="1" applyBorder="1" applyAlignment="1">
      <alignment horizontal="center" vertical="center"/>
    </xf>
    <xf numFmtId="4" fontId="54" fillId="2" borderId="1" xfId="4" applyNumberFormat="1" applyFont="1" applyFill="1" applyBorder="1" applyAlignment="1">
      <alignment horizontal="center" vertical="center"/>
    </xf>
    <xf numFmtId="0" fontId="54" fillId="2" borderId="1" xfId="4" applyFont="1" applyFill="1" applyBorder="1" applyAlignment="1">
      <alignment vertical="center"/>
    </xf>
    <xf numFmtId="0" fontId="54" fillId="2" borderId="1" xfId="4" applyNumberFormat="1" applyFont="1" applyFill="1" applyBorder="1" applyAlignment="1">
      <alignment horizontal="center" vertical="center"/>
    </xf>
    <xf numFmtId="0" fontId="54" fillId="2" borderId="0" xfId="4" applyFont="1" applyFill="1" applyBorder="1" applyAlignment="1">
      <alignment horizontal="center" vertical="center"/>
    </xf>
    <xf numFmtId="0" fontId="54" fillId="2" borderId="6" xfId="4" applyFont="1" applyFill="1" applyBorder="1" applyAlignment="1">
      <alignment vertical="center"/>
    </xf>
    <xf numFmtId="0" fontId="54" fillId="2" borderId="6" xfId="4" applyNumberFormat="1" applyFont="1" applyFill="1" applyBorder="1" applyAlignment="1">
      <alignment horizontal="center" vertical="center"/>
    </xf>
    <xf numFmtId="2" fontId="15" fillId="2" borderId="6" xfId="5" applyNumberFormat="1" applyFont="1" applyFill="1" applyBorder="1" applyAlignment="1">
      <alignment horizontal="center" vertical="center"/>
    </xf>
    <xf numFmtId="0" fontId="15" fillId="2" borderId="1" xfId="5" applyFont="1" applyFill="1" applyBorder="1" applyAlignment="1">
      <alignment horizontal="justify" vertical="center" wrapText="1"/>
    </xf>
    <xf numFmtId="0" fontId="50" fillId="2" borderId="6" xfId="4" applyFont="1" applyFill="1" applyBorder="1" applyAlignment="1">
      <alignment horizontal="center" vertical="center"/>
    </xf>
    <xf numFmtId="0" fontId="50" fillId="2" borderId="6" xfId="4" applyNumberFormat="1" applyFont="1" applyFill="1" applyBorder="1" applyAlignment="1">
      <alignment horizontal="center" vertical="center"/>
    </xf>
    <xf numFmtId="2" fontId="50" fillId="2" borderId="6" xfId="4" applyNumberFormat="1" applyFont="1" applyFill="1" applyBorder="1" applyAlignment="1">
      <alignment horizontal="center" vertical="center"/>
    </xf>
    <xf numFmtId="0" fontId="55" fillId="0" borderId="45" xfId="4" applyFont="1" applyFill="1" applyBorder="1"/>
    <xf numFmtId="0" fontId="55" fillId="0" borderId="50" xfId="4" applyFont="1" applyFill="1" applyBorder="1"/>
    <xf numFmtId="0" fontId="55" fillId="0" borderId="50" xfId="4" applyFont="1" applyFill="1" applyBorder="1" applyAlignment="1">
      <alignment horizontal="center"/>
    </xf>
    <xf numFmtId="4" fontId="55" fillId="0" borderId="51" xfId="4" applyNumberFormat="1" applyFont="1" applyFill="1" applyBorder="1" applyAlignment="1">
      <alignment horizontal="center"/>
    </xf>
    <xf numFmtId="4" fontId="55" fillId="3" borderId="1" xfId="5" applyNumberFormat="1" applyFont="1" applyFill="1" applyBorder="1" applyAlignment="1">
      <alignment horizontal="center"/>
    </xf>
    <xf numFmtId="0" fontId="55" fillId="0" borderId="8" xfId="5" applyFont="1" applyFill="1" applyBorder="1" applyAlignment="1">
      <alignment horizontal="center"/>
    </xf>
    <xf numFmtId="0" fontId="55" fillId="0" borderId="13" xfId="5" applyNumberFormat="1" applyFont="1" applyFill="1" applyBorder="1" applyAlignment="1">
      <alignment horizontal="center"/>
    </xf>
    <xf numFmtId="2" fontId="55" fillId="0" borderId="2" xfId="5" applyNumberFormat="1" applyFont="1" applyFill="1" applyBorder="1" applyAlignment="1">
      <alignment horizontal="center"/>
    </xf>
    <xf numFmtId="0" fontId="50" fillId="0" borderId="52" xfId="4" applyFont="1" applyFill="1" applyBorder="1"/>
    <xf numFmtId="0" fontId="50" fillId="0" borderId="49" xfId="4" applyFont="1" applyFill="1" applyBorder="1" applyAlignment="1">
      <alignment horizontal="center"/>
    </xf>
    <xf numFmtId="2" fontId="17" fillId="0" borderId="6" xfId="5" applyNumberFormat="1" applyFont="1" applyFill="1" applyBorder="1" applyAlignment="1">
      <alignment horizontal="center"/>
    </xf>
    <xf numFmtId="0" fontId="15" fillId="2" borderId="1" xfId="5" applyFont="1" applyFill="1" applyBorder="1" applyAlignment="1">
      <alignment horizontal="center"/>
    </xf>
    <xf numFmtId="4" fontId="6" fillId="2" borderId="1" xfId="5" applyNumberFormat="1" applyFont="1" applyFill="1" applyBorder="1" applyAlignment="1">
      <alignment horizontal="center" vertical="center"/>
    </xf>
    <xf numFmtId="2" fontId="6" fillId="2" borderId="1" xfId="5" applyNumberFormat="1" applyFont="1" applyFill="1" applyBorder="1" applyAlignment="1">
      <alignment horizontal="center" vertical="center"/>
    </xf>
    <xf numFmtId="0" fontId="6" fillId="2" borderId="1" xfId="5" applyNumberFormat="1" applyFont="1" applyFill="1" applyBorder="1" applyAlignment="1">
      <alignment horizontal="center" vertical="center"/>
    </xf>
    <xf numFmtId="2" fontId="15" fillId="2" borderId="1" xfId="5" applyNumberFormat="1" applyFont="1" applyFill="1" applyBorder="1" applyAlignment="1">
      <alignment horizontal="center"/>
    </xf>
    <xf numFmtId="0" fontId="55" fillId="0" borderId="1" xfId="4" applyFont="1" applyFill="1" applyBorder="1" applyAlignment="1"/>
    <xf numFmtId="0" fontId="55" fillId="0" borderId="1" xfId="4" applyNumberFormat="1" applyFont="1" applyFill="1" applyBorder="1" applyAlignment="1">
      <alignment horizontal="center"/>
    </xf>
    <xf numFmtId="2" fontId="55" fillId="0" borderId="1" xfId="5" applyNumberFormat="1" applyFont="1" applyFill="1" applyBorder="1" applyAlignment="1">
      <alignment horizontal="center"/>
    </xf>
    <xf numFmtId="0" fontId="47" fillId="0" borderId="0" xfId="0" applyFont="1" applyAlignment="1">
      <alignment horizontal="center" wrapText="1"/>
    </xf>
    <xf numFmtId="0" fontId="47" fillId="0" borderId="0" xfId="0" applyFont="1" applyAlignment="1">
      <alignment wrapText="1"/>
    </xf>
    <xf numFmtId="49" fontId="47" fillId="0" borderId="0" xfId="0" applyNumberFormat="1" applyFont="1" applyAlignment="1">
      <alignment wrapText="1"/>
    </xf>
    <xf numFmtId="166" fontId="6" fillId="0" borderId="1" xfId="1" applyFont="1" applyBorder="1"/>
    <xf numFmtId="0" fontId="33" fillId="0" borderId="0" xfId="0" applyFont="1"/>
    <xf numFmtId="0" fontId="6" fillId="0" borderId="0" xfId="0" applyFont="1" applyBorder="1"/>
    <xf numFmtId="0" fontId="6" fillId="0" borderId="1" xfId="0" applyFont="1" applyBorder="1" applyAlignment="1">
      <alignment horizontal="center"/>
    </xf>
    <xf numFmtId="166" fontId="6" fillId="0" borderId="1" xfId="1" applyFont="1" applyBorder="1" applyAlignment="1">
      <alignment horizontal="center" vertical="center" wrapText="1"/>
    </xf>
    <xf numFmtId="2" fontId="6" fillId="0" borderId="1" xfId="0" applyNumberFormat="1" applyFont="1" applyBorder="1" applyAlignment="1">
      <alignment horizontal="center" vertical="center" wrapText="1"/>
    </xf>
    <xf numFmtId="166" fontId="6" fillId="0" borderId="1" xfId="0" applyNumberFormat="1" applyFont="1" applyBorder="1"/>
    <xf numFmtId="0" fontId="6" fillId="0" borderId="1" xfId="0" applyFont="1" applyBorder="1" applyAlignment="1">
      <alignment horizontal="left" vertical="top" wrapText="1"/>
    </xf>
    <xf numFmtId="166" fontId="54" fillId="12" borderId="1" xfId="1" applyFont="1" applyFill="1" applyBorder="1" applyAlignment="1">
      <alignment horizontal="center" vertical="center"/>
    </xf>
    <xf numFmtId="166" fontId="6" fillId="0" borderId="1" xfId="0" applyNumberFormat="1" applyFont="1" applyBorder="1" applyAlignment="1">
      <alignment vertical="center"/>
    </xf>
    <xf numFmtId="2" fontId="6" fillId="0" borderId="1" xfId="0" applyNumberFormat="1" applyFont="1" applyBorder="1" applyAlignment="1">
      <alignment horizontal="center" vertical="center"/>
    </xf>
    <xf numFmtId="2" fontId="6" fillId="0" borderId="1" xfId="0" applyNumberFormat="1" applyFont="1" applyBorder="1" applyAlignment="1">
      <alignment horizontal="center" vertical="top" wrapText="1"/>
    </xf>
    <xf numFmtId="166" fontId="5" fillId="0" borderId="1" xfId="1" applyFont="1" applyBorder="1" applyAlignment="1">
      <alignment horizontal="center" vertical="top" wrapText="1"/>
    </xf>
    <xf numFmtId="0" fontId="10" fillId="12" borderId="1" xfId="0" applyFont="1" applyFill="1" applyBorder="1" applyAlignment="1">
      <alignment wrapText="1"/>
    </xf>
    <xf numFmtId="166" fontId="3" fillId="0" borderId="1" xfId="0" applyNumberFormat="1" applyFont="1" applyBorder="1"/>
    <xf numFmtId="166" fontId="3" fillId="0" borderId="3" xfId="6" applyFont="1" applyFill="1" applyBorder="1" applyAlignment="1">
      <alignment horizontal="right"/>
    </xf>
    <xf numFmtId="2" fontId="6" fillId="0" borderId="1" xfId="0" applyNumberFormat="1" applyFont="1" applyBorder="1" applyAlignment="1">
      <alignment horizontal="justify" vertical="top" wrapText="1"/>
    </xf>
    <xf numFmtId="170" fontId="6" fillId="0" borderId="1" xfId="0" applyNumberFormat="1" applyFont="1" applyBorder="1" applyAlignment="1">
      <alignment horizontal="center" vertical="top" wrapText="1"/>
    </xf>
    <xf numFmtId="166" fontId="6" fillId="0" borderId="1" xfId="1" applyFont="1" applyBorder="1" applyAlignment="1">
      <alignment horizontal="righ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center" wrapText="1"/>
    </xf>
    <xf numFmtId="0" fontId="11" fillId="0" borderId="1" xfId="0" applyFont="1" applyBorder="1" applyAlignment="1">
      <alignment vertical="top" wrapText="1"/>
    </xf>
    <xf numFmtId="0" fontId="6" fillId="0" borderId="1" xfId="0" applyFont="1" applyBorder="1" applyAlignment="1">
      <alignment horizontal="justify" vertical="top" wrapText="1"/>
    </xf>
    <xf numFmtId="0" fontId="6" fillId="0" borderId="1" xfId="0" applyFont="1" applyBorder="1" applyAlignment="1">
      <alignment horizontal="center" wrapText="1"/>
    </xf>
    <xf numFmtId="0" fontId="6" fillId="0" borderId="1" xfId="0" applyFont="1" applyBorder="1" applyAlignment="1">
      <alignment vertical="top" wrapText="1"/>
    </xf>
    <xf numFmtId="0" fontId="11" fillId="0" borderId="1" xfId="0" applyFont="1" applyBorder="1" applyAlignment="1">
      <alignment horizontal="center" wrapText="1"/>
    </xf>
    <xf numFmtId="0" fontId="11" fillId="0" borderId="1" xfId="0" applyFont="1" applyBorder="1" applyAlignment="1">
      <alignment vertical="top" wrapText="1"/>
    </xf>
    <xf numFmtId="0" fontId="6" fillId="0" borderId="0" xfId="0" applyFont="1" applyAlignment="1"/>
    <xf numFmtId="0" fontId="6" fillId="0" borderId="0" xfId="0" applyFont="1" applyFill="1" applyAlignment="1">
      <alignment vertical="center" wrapText="1"/>
    </xf>
    <xf numFmtId="164" fontId="25" fillId="2" borderId="0" xfId="0" applyNumberFormat="1" applyFont="1" applyFill="1"/>
    <xf numFmtId="164" fontId="25" fillId="2" borderId="0" xfId="0" applyNumberFormat="1" applyFont="1" applyFill="1" applyAlignment="1">
      <alignment horizontal="center" vertical="center"/>
    </xf>
    <xf numFmtId="0" fontId="25" fillId="2" borderId="1" xfId="0" applyFont="1" applyFill="1" applyBorder="1"/>
    <xf numFmtId="166" fontId="25" fillId="2" borderId="1" xfId="0" applyNumberFormat="1" applyFont="1" applyFill="1" applyBorder="1" applyAlignment="1">
      <alignment vertical="top"/>
    </xf>
    <xf numFmtId="0" fontId="51" fillId="0" borderId="1" xfId="4" applyFont="1" applyFill="1" applyBorder="1" applyAlignment="1">
      <alignment horizontal="center" vertical="center"/>
    </xf>
    <xf numFmtId="0" fontId="50" fillId="2" borderId="1" xfId="4" applyFont="1" applyFill="1" applyBorder="1" applyAlignment="1">
      <alignment horizontal="center" vertical="center" wrapText="1"/>
    </xf>
    <xf numFmtId="0" fontId="17" fillId="2" borderId="3" xfId="5" applyFont="1" applyFill="1" applyBorder="1" applyAlignment="1">
      <alignment horizontal="center" vertical="center" wrapText="1"/>
    </xf>
    <xf numFmtId="0" fontId="17" fillId="2" borderId="4" xfId="5" applyFont="1" applyFill="1" applyBorder="1" applyAlignment="1">
      <alignment horizontal="center" vertical="center" wrapText="1"/>
    </xf>
    <xf numFmtId="0" fontId="17" fillId="2" borderId="5" xfId="5" applyFont="1" applyFill="1" applyBorder="1" applyAlignment="1">
      <alignment horizontal="center" vertical="center" wrapText="1"/>
    </xf>
    <xf numFmtId="4" fontId="5" fillId="3" borderId="1" xfId="4" applyNumberFormat="1" applyFont="1" applyFill="1" applyBorder="1" applyAlignment="1">
      <alignment horizontal="center"/>
    </xf>
    <xf numFmtId="0" fontId="51" fillId="0" borderId="0" xfId="4" applyFont="1" applyFill="1" applyBorder="1" applyAlignment="1">
      <alignment horizontal="center" vertical="center"/>
    </xf>
    <xf numFmtId="0" fontId="51" fillId="0" borderId="6" xfId="4" applyFont="1" applyFill="1" applyBorder="1" applyAlignment="1">
      <alignment horizontal="center" vertical="center"/>
    </xf>
    <xf numFmtId="0" fontId="55" fillId="2" borderId="3" xfId="5" applyFont="1" applyFill="1" applyBorder="1" applyAlignment="1">
      <alignment vertical="center" wrapText="1"/>
    </xf>
    <xf numFmtId="4" fontId="55" fillId="3" borderId="1" xfId="5" applyNumberFormat="1" applyFont="1" applyFill="1" applyBorder="1" applyAlignment="1">
      <alignment vertical="center"/>
    </xf>
    <xf numFmtId="0" fontId="50" fillId="2" borderId="0" xfId="4" applyFont="1" applyFill="1" applyBorder="1" applyAlignment="1">
      <alignment vertical="center" wrapText="1"/>
    </xf>
    <xf numFmtId="0" fontId="51" fillId="2" borderId="0" xfId="4" applyFont="1" applyFill="1" applyBorder="1" applyAlignment="1">
      <alignment vertical="center" wrapText="1"/>
    </xf>
    <xf numFmtId="0" fontId="53" fillId="2" borderId="0" xfId="5" applyFont="1" applyFill="1" applyBorder="1" applyAlignment="1">
      <alignment vertical="center" wrapText="1"/>
    </xf>
    <xf numFmtId="0" fontId="17" fillId="11" borderId="0" xfId="5" applyFont="1" applyFill="1" applyBorder="1" applyAlignment="1">
      <alignment vertical="center" wrapText="1"/>
    </xf>
    <xf numFmtId="0" fontId="15" fillId="2" borderId="0" xfId="5" applyFont="1" applyFill="1" applyBorder="1" applyAlignment="1">
      <alignment vertical="center"/>
    </xf>
    <xf numFmtId="0" fontId="15" fillId="2" borderId="0" xfId="5" applyFont="1" applyFill="1" applyBorder="1" applyAlignment="1">
      <alignment horizontal="center" vertical="center" wrapText="1"/>
    </xf>
    <xf numFmtId="2" fontId="15" fillId="2" borderId="0" xfId="5" applyNumberFormat="1" applyFont="1" applyFill="1" applyBorder="1" applyAlignment="1">
      <alignment horizontal="center" vertical="center" wrapText="1"/>
    </xf>
    <xf numFmtId="0" fontId="15" fillId="2" borderId="0" xfId="5" applyFont="1" applyFill="1" applyBorder="1" applyAlignment="1">
      <alignment horizontal="left" vertical="center" wrapText="1"/>
    </xf>
    <xf numFmtId="0" fontId="15" fillId="2" borderId="0" xfId="5" applyFont="1" applyFill="1" applyBorder="1" applyAlignment="1">
      <alignment vertical="center" wrapText="1"/>
    </xf>
    <xf numFmtId="0" fontId="15" fillId="2" borderId="0" xfId="5" applyFont="1" applyFill="1" applyBorder="1" applyAlignment="1">
      <alignment horizontal="center" vertical="center"/>
    </xf>
    <xf numFmtId="0" fontId="54" fillId="2" borderId="0" xfId="5" applyFont="1" applyFill="1" applyBorder="1" applyAlignment="1">
      <alignment horizontal="left" vertical="center"/>
    </xf>
    <xf numFmtId="0" fontId="50" fillId="2" borderId="0" xfId="5" applyFont="1" applyFill="1" applyBorder="1" applyAlignment="1">
      <alignment horizontal="left" vertical="center"/>
    </xf>
    <xf numFmtId="0" fontId="54" fillId="2" borderId="0" xfId="5" applyFont="1" applyFill="1" applyBorder="1" applyAlignment="1">
      <alignment horizontal="center" vertical="center"/>
    </xf>
    <xf numFmtId="2" fontId="54" fillId="2" borderId="0" xfId="5" applyNumberFormat="1" applyFont="1" applyFill="1" applyBorder="1" applyAlignment="1">
      <alignment horizontal="center" vertical="center"/>
    </xf>
    <xf numFmtId="0" fontId="32" fillId="2" borderId="0" xfId="5" applyFont="1" applyFill="1" applyBorder="1" applyAlignment="1">
      <alignment vertical="center"/>
    </xf>
    <xf numFmtId="0" fontId="32" fillId="2" borderId="0" xfId="5" applyFont="1" applyFill="1" applyBorder="1" applyAlignment="1">
      <alignment horizontal="center" vertical="center"/>
    </xf>
    <xf numFmtId="2" fontId="32" fillId="2" borderId="0" xfId="5" applyNumberFormat="1" applyFont="1" applyFill="1" applyBorder="1" applyAlignment="1">
      <alignment horizontal="center" vertical="center" wrapText="1"/>
    </xf>
    <xf numFmtId="2" fontId="15" fillId="2" borderId="0" xfId="5" applyNumberFormat="1" applyFont="1" applyFill="1" applyBorder="1" applyAlignment="1">
      <alignment horizontal="center" vertical="center"/>
    </xf>
    <xf numFmtId="0" fontId="56" fillId="2" borderId="0" xfId="5" applyFont="1" applyFill="1" applyBorder="1" applyAlignment="1">
      <alignment vertical="center" wrapText="1"/>
    </xf>
    <xf numFmtId="2" fontId="56" fillId="2" borderId="0" xfId="5" applyNumberFormat="1" applyFont="1" applyFill="1" applyBorder="1" applyAlignment="1">
      <alignment horizontal="center" vertical="center" wrapText="1"/>
    </xf>
    <xf numFmtId="2" fontId="55" fillId="2" borderId="0" xfId="5" applyNumberFormat="1" applyFont="1" applyFill="1" applyBorder="1" applyAlignment="1">
      <alignment horizontal="center" vertical="center" wrapText="1"/>
    </xf>
    <xf numFmtId="0" fontId="17" fillId="2" borderId="0" xfId="5" applyFont="1" applyFill="1" applyBorder="1" applyAlignment="1">
      <alignment vertical="center" wrapText="1"/>
    </xf>
    <xf numFmtId="0" fontId="55" fillId="2" borderId="0" xfId="5" applyFont="1" applyFill="1" applyBorder="1" applyAlignment="1">
      <alignment vertical="center" wrapText="1"/>
    </xf>
    <xf numFmtId="4" fontId="55" fillId="3" borderId="3" xfId="5" applyNumberFormat="1" applyFont="1" applyFill="1" applyBorder="1" applyAlignment="1">
      <alignment vertical="center"/>
    </xf>
    <xf numFmtId="2" fontId="17" fillId="2" borderId="0" xfId="5" applyNumberFormat="1" applyFont="1" applyFill="1" applyBorder="1" applyAlignment="1">
      <alignment horizontal="center" vertical="center" wrapText="1"/>
    </xf>
    <xf numFmtId="2" fontId="55" fillId="2" borderId="0" xfId="5" applyNumberFormat="1" applyFont="1" applyFill="1" applyBorder="1" applyAlignment="1">
      <alignment vertical="center" wrapText="1"/>
    </xf>
    <xf numFmtId="0" fontId="17" fillId="2" borderId="0" xfId="5" applyFont="1" applyFill="1" applyBorder="1" applyAlignment="1">
      <alignment horizontal="center" vertical="center" wrapText="1"/>
    </xf>
    <xf numFmtId="0" fontId="55" fillId="2" borderId="0" xfId="5" applyFont="1" applyFill="1" applyBorder="1" applyAlignment="1">
      <alignment horizontal="left" vertical="center" wrapText="1"/>
    </xf>
    <xf numFmtId="0" fontId="55" fillId="2" borderId="0" xfId="5" applyFont="1" applyFill="1" applyBorder="1" applyAlignment="1">
      <alignment horizontal="center" vertical="center"/>
    </xf>
    <xf numFmtId="2" fontId="55" fillId="2" borderId="0" xfId="5" applyNumberFormat="1" applyFont="1" applyFill="1" applyBorder="1" applyAlignment="1">
      <alignment horizontal="center" vertical="center"/>
    </xf>
    <xf numFmtId="3" fontId="55" fillId="2" borderId="0" xfId="5" applyNumberFormat="1" applyFont="1" applyFill="1" applyBorder="1" applyAlignment="1">
      <alignment vertical="center" wrapText="1"/>
    </xf>
    <xf numFmtId="0" fontId="51" fillId="2" borderId="4" xfId="4" applyFont="1" applyFill="1" applyBorder="1" applyAlignment="1">
      <alignment horizontal="center" vertical="center" wrapText="1"/>
    </xf>
    <xf numFmtId="0" fontId="51" fillId="2" borderId="0" xfId="4" applyFont="1" applyFill="1" applyBorder="1" applyAlignment="1">
      <alignment horizontal="center" vertical="center" wrapText="1"/>
    </xf>
    <xf numFmtId="0" fontId="51" fillId="2" borderId="4" xfId="4" applyFont="1" applyFill="1" applyBorder="1" applyAlignment="1">
      <alignment horizontal="left" vertical="center" wrapText="1"/>
    </xf>
    <xf numFmtId="0" fontId="5" fillId="2" borderId="3" xfId="5" applyFont="1" applyFill="1" applyBorder="1" applyAlignment="1">
      <alignment horizontal="right" vertical="center" wrapText="1"/>
    </xf>
    <xf numFmtId="0" fontId="5" fillId="2" borderId="4" xfId="5" applyFont="1" applyFill="1" applyBorder="1" applyAlignment="1">
      <alignment horizontal="right" vertical="center" wrapText="1"/>
    </xf>
    <xf numFmtId="0" fontId="5" fillId="2" borderId="5" xfId="5" applyFont="1" applyFill="1" applyBorder="1" applyAlignment="1">
      <alignment horizontal="right" vertical="center" wrapText="1"/>
    </xf>
    <xf numFmtId="4" fontId="5" fillId="2" borderId="1" xfId="5" applyNumberFormat="1" applyFont="1" applyFill="1" applyBorder="1" applyAlignment="1">
      <alignment horizontal="center" vertical="center" wrapText="1"/>
    </xf>
    <xf numFmtId="0" fontId="55" fillId="2" borderId="3" xfId="5" applyFont="1" applyFill="1" applyBorder="1" applyAlignment="1">
      <alignment horizontal="center" vertical="center" wrapText="1"/>
    </xf>
    <xf numFmtId="4" fontId="5" fillId="2" borderId="5" xfId="5" applyNumberFormat="1" applyFont="1" applyFill="1" applyBorder="1" applyAlignment="1">
      <alignment horizontal="center" vertical="center" wrapText="1"/>
    </xf>
    <xf numFmtId="0" fontId="51" fillId="2" borderId="3" xfId="4" applyFont="1" applyFill="1" applyBorder="1" applyAlignment="1">
      <alignment horizontal="center" vertical="center" wrapText="1"/>
    </xf>
    <xf numFmtId="0" fontId="51" fillId="2" borderId="5" xfId="4"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wrapText="1"/>
    </xf>
    <xf numFmtId="0" fontId="11" fillId="0" borderId="1" xfId="0" applyFont="1" applyBorder="1" applyAlignment="1">
      <alignment horizontal="center" wrapText="1"/>
    </xf>
    <xf numFmtId="0" fontId="11" fillId="0" borderId="1" xfId="0" applyFont="1" applyBorder="1" applyAlignment="1">
      <alignment vertical="top" wrapText="1"/>
    </xf>
    <xf numFmtId="0" fontId="6"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wrapText="1"/>
    </xf>
    <xf numFmtId="0" fontId="11"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wrapText="1"/>
    </xf>
    <xf numFmtId="0" fontId="11" fillId="0" borderId="1" xfId="0" applyFont="1" applyBorder="1" applyAlignment="1">
      <alignment horizontal="center" wrapText="1"/>
    </xf>
    <xf numFmtId="0" fontId="6" fillId="0" borderId="1" xfId="0" applyFont="1" applyBorder="1" applyAlignment="1">
      <alignment vertical="top" wrapText="1"/>
    </xf>
    <xf numFmtId="0" fontId="11" fillId="0" borderId="1" xfId="0" applyFont="1" applyBorder="1" applyAlignment="1">
      <alignment vertical="top" wrapText="1"/>
    </xf>
    <xf numFmtId="0" fontId="57" fillId="2" borderId="0" xfId="0" applyFont="1" applyFill="1"/>
    <xf numFmtId="0" fontId="57" fillId="2" borderId="0" xfId="0" applyFont="1" applyFill="1" applyAlignment="1">
      <alignment vertical="top"/>
    </xf>
    <xf numFmtId="49" fontId="11" fillId="2"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0" fontId="6" fillId="2" borderId="1" xfId="0" applyFont="1" applyFill="1" applyBorder="1"/>
    <xf numFmtId="49" fontId="47" fillId="0" borderId="0" xfId="0" applyNumberFormat="1" applyFont="1" applyBorder="1" applyAlignment="1"/>
    <xf numFmtId="0" fontId="58" fillId="0" borderId="8" xfId="0" applyNumberFormat="1" applyFont="1" applyFill="1" applyBorder="1" applyAlignment="1">
      <alignment vertical="center" wrapText="1"/>
    </xf>
    <xf numFmtId="0" fontId="58" fillId="0" borderId="0" xfId="0" applyNumberFormat="1" applyFont="1" applyFill="1" applyBorder="1" applyAlignment="1">
      <alignment vertical="center" wrapText="1"/>
    </xf>
    <xf numFmtId="0" fontId="58" fillId="0" borderId="7" xfId="0" applyNumberFormat="1" applyFont="1" applyFill="1" applyBorder="1" applyAlignment="1">
      <alignment vertical="center" wrapText="1"/>
    </xf>
    <xf numFmtId="166" fontId="6" fillId="0" borderId="1" xfId="0" applyNumberFormat="1" applyFont="1" applyBorder="1" applyAlignment="1"/>
    <xf numFmtId="0" fontId="15" fillId="2" borderId="1" xfId="0" applyFont="1" applyFill="1" applyBorder="1" applyAlignment="1">
      <alignment horizontal="center" vertical="top"/>
    </xf>
    <xf numFmtId="164" fontId="59" fillId="2" borderId="1" xfId="0" applyNumberFormat="1" applyFont="1" applyFill="1" applyBorder="1" applyAlignment="1">
      <alignment vertical="top"/>
    </xf>
    <xf numFmtId="0" fontId="15" fillId="2" borderId="1" xfId="0" applyFont="1" applyFill="1" applyBorder="1" applyAlignment="1">
      <alignment horizontal="center"/>
    </xf>
    <xf numFmtId="4" fontId="2" fillId="2" borderId="1" xfId="0" applyNumberFormat="1" applyFont="1" applyFill="1" applyBorder="1" applyAlignment="1">
      <alignment horizontal="center"/>
    </xf>
    <xf numFmtId="4"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0" fontId="15" fillId="2" borderId="1" xfId="0" applyFont="1" applyFill="1" applyBorder="1" applyAlignment="1">
      <alignment vertical="center" wrapText="1"/>
    </xf>
    <xf numFmtId="4" fontId="15"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 fontId="15" fillId="0" borderId="1" xfId="1"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0" fontId="15" fillId="13" borderId="1" xfId="0" applyFont="1" applyFill="1" applyBorder="1" applyAlignment="1">
      <alignment horizontal="center" vertical="center"/>
    </xf>
    <xf numFmtId="2" fontId="15" fillId="13" borderId="1" xfId="0" applyNumberFormat="1" applyFont="1" applyFill="1" applyBorder="1" applyAlignment="1">
      <alignment horizontal="center" vertical="center"/>
    </xf>
    <xf numFmtId="0" fontId="15" fillId="2" borderId="1" xfId="0" applyFont="1" applyFill="1" applyBorder="1" applyAlignment="1">
      <alignment horizontal="left"/>
    </xf>
    <xf numFmtId="4" fontId="15" fillId="2" borderId="1" xfId="1" applyNumberFormat="1" applyFont="1" applyFill="1" applyBorder="1" applyAlignment="1">
      <alignment horizontal="center"/>
    </xf>
    <xf numFmtId="2" fontId="15" fillId="2" borderId="0" xfId="0" applyNumberFormat="1" applyFont="1" applyFill="1" applyBorder="1" applyAlignment="1">
      <alignment horizontal="center"/>
    </xf>
    <xf numFmtId="2" fontId="15" fillId="2" borderId="29" xfId="0" applyNumberFormat="1" applyFont="1" applyFill="1" applyBorder="1" applyAlignment="1">
      <alignment horizontal="center"/>
    </xf>
    <xf numFmtId="0" fontId="15" fillId="2" borderId="53" xfId="0" applyFont="1" applyFill="1" applyBorder="1" applyAlignment="1">
      <alignment horizontal="center"/>
    </xf>
    <xf numFmtId="4" fontId="55" fillId="3" borderId="1" xfId="0" applyNumberFormat="1" applyFont="1" applyFill="1" applyBorder="1" applyAlignment="1">
      <alignment horizontal="center" vertical="center"/>
    </xf>
    <xf numFmtId="0" fontId="55" fillId="2" borderId="1" xfId="0" applyFont="1" applyFill="1" applyBorder="1" applyAlignment="1">
      <alignment horizontal="center" vertical="center"/>
    </xf>
    <xf numFmtId="2" fontId="55" fillId="2" borderId="1" xfId="0" applyNumberFormat="1" applyFont="1" applyFill="1" applyBorder="1" applyAlignment="1">
      <alignment horizontal="center" vertical="center"/>
    </xf>
    <xf numFmtId="0" fontId="11" fillId="0" borderId="1" xfId="0" applyFont="1" applyBorder="1" applyAlignment="1">
      <alignment vertical="top" wrapText="1"/>
    </xf>
    <xf numFmtId="49" fontId="47" fillId="0" borderId="7" xfId="0" applyNumberFormat="1" applyFont="1" applyBorder="1" applyAlignment="1">
      <alignment horizontal="left" wrapText="1"/>
    </xf>
    <xf numFmtId="0" fontId="11" fillId="0" borderId="1" xfId="0" applyFont="1" applyBorder="1" applyAlignment="1">
      <alignment horizontal="center" wrapText="1"/>
    </xf>
    <xf numFmtId="171" fontId="60" fillId="0" borderId="55" xfId="0" applyNumberFormat="1" applyFont="1" applyBorder="1" applyAlignment="1" applyProtection="1">
      <alignment horizontal="left" vertical="center" wrapText="1"/>
    </xf>
    <xf numFmtId="0" fontId="11" fillId="0" borderId="1" xfId="1" applyNumberFormat="1" applyFont="1" applyBorder="1" applyAlignment="1">
      <alignment vertical="top" wrapText="1"/>
    </xf>
    <xf numFmtId="1" fontId="11" fillId="0" borderId="1" xfId="1" applyNumberFormat="1" applyFont="1" applyBorder="1" applyAlignment="1">
      <alignment vertical="top" wrapText="1"/>
    </xf>
    <xf numFmtId="0" fontId="6" fillId="0" borderId="0" xfId="0" applyFont="1" applyAlignment="1">
      <alignment horizontal="left" vertical="top" wrapText="1"/>
    </xf>
    <xf numFmtId="0" fontId="5" fillId="0" borderId="7" xfId="0" applyFont="1" applyBorder="1" applyAlignment="1">
      <alignment horizontal="left" vertical="top" wrapText="1"/>
    </xf>
    <xf numFmtId="0" fontId="6" fillId="0" borderId="0" xfId="0" applyFont="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16" fillId="0" borderId="0" xfId="0" applyFont="1" applyAlignment="1">
      <alignment horizontal="right" wrapText="1"/>
    </xf>
    <xf numFmtId="0" fontId="33" fillId="0" borderId="0" xfId="0" applyFont="1" applyAlignment="1">
      <alignment horizontal="right" wrapText="1"/>
    </xf>
    <xf numFmtId="0" fontId="12" fillId="0" borderId="7" xfId="0" applyFont="1" applyBorder="1" applyAlignment="1">
      <alignment horizontal="right" vertical="top" wrapText="1"/>
    </xf>
    <xf numFmtId="0" fontId="11" fillId="0" borderId="8" xfId="0" applyFont="1" applyBorder="1" applyAlignment="1">
      <alignment horizontal="center" vertical="top" wrapText="1"/>
    </xf>
    <xf numFmtId="0" fontId="11" fillId="0" borderId="0" xfId="0" applyFont="1" applyAlignment="1">
      <alignment horizontal="left" vertical="top" wrapText="1"/>
    </xf>
    <xf numFmtId="0" fontId="11" fillId="0" borderId="0" xfId="0" applyFont="1" applyBorder="1" applyAlignment="1">
      <alignment horizontal="right" vertical="top" wrapText="1"/>
    </xf>
    <xf numFmtId="0" fontId="16" fillId="0" borderId="0" xfId="0" applyFont="1" applyAlignment="1">
      <alignment horizontal="center" wrapText="1"/>
    </xf>
    <xf numFmtId="0" fontId="2" fillId="0" borderId="0" xfId="0" applyFont="1" applyAlignment="1">
      <alignment horizontal="right" vertical="top" wrapText="1"/>
    </xf>
    <xf numFmtId="0" fontId="9" fillId="0" borderId="1" xfId="0" applyFont="1" applyBorder="1" applyAlignment="1">
      <alignment horizontal="center" vertical="top" wrapText="1"/>
    </xf>
    <xf numFmtId="0" fontId="6" fillId="0" borderId="1" xfId="0" applyFont="1" applyBorder="1" applyAlignment="1">
      <alignment horizontal="center" vertical="top" wrapText="1"/>
    </xf>
    <xf numFmtId="49" fontId="6" fillId="0" borderId="1" xfId="0" applyNumberFormat="1" applyFont="1" applyBorder="1" applyAlignment="1">
      <alignment horizontal="center" vertical="top" wrapText="1"/>
    </xf>
    <xf numFmtId="0" fontId="8" fillId="0" borderId="0" xfId="0" applyFont="1" applyAlignment="1">
      <alignment horizontal="center" vertical="top" wrapText="1"/>
    </xf>
    <xf numFmtId="0" fontId="5" fillId="0" borderId="0" xfId="0" applyFont="1" applyAlignment="1">
      <alignment horizontal="center" vertical="top" wrapText="1"/>
    </xf>
    <xf numFmtId="14" fontId="9" fillId="0" borderId="1" xfId="0" applyNumberFormat="1" applyFont="1" applyBorder="1" applyAlignment="1">
      <alignment horizontal="center" vertical="top" wrapText="1"/>
    </xf>
    <xf numFmtId="0" fontId="1" fillId="2" borderId="11" xfId="0" applyFont="1" applyFill="1" applyBorder="1" applyAlignment="1">
      <alignment horizontal="center" vertical="top" wrapText="1"/>
    </xf>
    <xf numFmtId="0" fontId="1" fillId="2" borderId="0" xfId="0" applyFont="1" applyFill="1" applyBorder="1" applyAlignment="1">
      <alignment horizontal="center" vertical="top" wrapText="1"/>
    </xf>
    <xf numFmtId="0" fontId="4" fillId="2" borderId="1" xfId="0" applyFont="1" applyFill="1" applyBorder="1" applyAlignment="1">
      <alignment horizontal="center" vertical="top" wrapText="1"/>
    </xf>
    <xf numFmtId="0" fontId="15" fillId="2" borderId="1" xfId="0" applyFont="1" applyFill="1" applyBorder="1" applyAlignment="1">
      <alignment horizontal="center" wrapText="1"/>
    </xf>
    <xf numFmtId="49" fontId="1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0" fontId="17"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1" xfId="0" applyFont="1" applyBorder="1" applyAlignment="1">
      <alignment vertical="top" wrapText="1"/>
    </xf>
    <xf numFmtId="49" fontId="47" fillId="0" borderId="7" xfId="0" applyNumberFormat="1" applyFont="1" applyBorder="1" applyAlignment="1">
      <alignment horizontal="left" wrapText="1"/>
    </xf>
    <xf numFmtId="49" fontId="47" fillId="0" borderId="4" xfId="0" applyNumberFormat="1" applyFont="1" applyBorder="1" applyAlignment="1">
      <alignment horizontal="left" wrapText="1"/>
    </xf>
    <xf numFmtId="0" fontId="47" fillId="0" borderId="0" xfId="0" applyFont="1" applyAlignment="1">
      <alignment horizontal="left" wrapText="1"/>
    </xf>
    <xf numFmtId="0" fontId="11" fillId="0" borderId="1" xfId="0" applyFont="1" applyBorder="1" applyAlignment="1">
      <alignment horizontal="center" wrapText="1"/>
    </xf>
    <xf numFmtId="0" fontId="11" fillId="0" borderId="12" xfId="0" applyFont="1" applyBorder="1" applyAlignment="1">
      <alignment horizontal="center" wrapText="1"/>
    </xf>
    <xf numFmtId="0" fontId="11" fillId="0" borderId="8" xfId="0" applyFont="1" applyBorder="1" applyAlignment="1">
      <alignment horizontal="center" wrapText="1"/>
    </xf>
    <xf numFmtId="0" fontId="11" fillId="0" borderId="13" xfId="0" applyFont="1" applyBorder="1" applyAlignment="1">
      <alignment horizontal="center" wrapText="1"/>
    </xf>
    <xf numFmtId="0" fontId="11" fillId="0" borderId="11" xfId="0" applyFont="1" applyBorder="1" applyAlignment="1">
      <alignment horizontal="center" wrapText="1"/>
    </xf>
    <xf numFmtId="0" fontId="11" fillId="0" borderId="0" xfId="0" applyFont="1" applyBorder="1" applyAlignment="1">
      <alignment horizontal="center" wrapText="1"/>
    </xf>
    <xf numFmtId="0" fontId="11" fillId="0" borderId="54" xfId="0" applyFont="1" applyBorder="1" applyAlignment="1">
      <alignment horizontal="center" wrapText="1"/>
    </xf>
    <xf numFmtId="0" fontId="11" fillId="0" borderId="14" xfId="0" applyFont="1" applyBorder="1" applyAlignment="1">
      <alignment horizontal="center" wrapText="1"/>
    </xf>
    <xf numFmtId="0" fontId="11" fillId="0" borderId="7" xfId="0" applyFont="1" applyBorder="1" applyAlignment="1">
      <alignment horizontal="center" wrapText="1"/>
    </xf>
    <xf numFmtId="0" fontId="11" fillId="0" borderId="10" xfId="0" applyFont="1" applyBorder="1" applyAlignment="1">
      <alignment horizontal="center" wrapText="1"/>
    </xf>
    <xf numFmtId="0" fontId="11" fillId="0" borderId="2" xfId="0" applyFont="1" applyBorder="1" applyAlignment="1">
      <alignment horizontal="center" wrapText="1"/>
    </xf>
    <xf numFmtId="0" fontId="11" fillId="0" borderId="9" xfId="0" applyFont="1" applyBorder="1" applyAlignment="1">
      <alignment horizontal="center" wrapText="1"/>
    </xf>
    <xf numFmtId="0" fontId="11" fillId="0" borderId="6" xfId="0" applyFont="1" applyBorder="1" applyAlignment="1">
      <alignment horizontal="center" wrapText="1"/>
    </xf>
    <xf numFmtId="0" fontId="0" fillId="0" borderId="13" xfId="0" applyBorder="1" applyAlignment="1">
      <alignment horizontal="center" wrapText="1"/>
    </xf>
    <xf numFmtId="0" fontId="0" fillId="0" borderId="54" xfId="0"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xf>
    <xf numFmtId="0" fontId="47" fillId="0" borderId="7" xfId="0" applyFont="1" applyBorder="1" applyAlignment="1">
      <alignment horizontal="center"/>
    </xf>
    <xf numFmtId="49" fontId="6" fillId="0" borderId="0" xfId="1" applyNumberFormat="1" applyFont="1" applyBorder="1" applyAlignment="1">
      <alignment horizontal="center"/>
    </xf>
    <xf numFmtId="0" fontId="10" fillId="0" borderId="12"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15" fillId="2" borderId="3" xfId="0" applyFont="1" applyFill="1" applyBorder="1" applyAlignment="1">
      <alignment horizont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35" fillId="2" borderId="0" xfId="0" applyFont="1" applyFill="1" applyAlignment="1">
      <alignment horizontal="center" vertical="top"/>
    </xf>
    <xf numFmtId="0" fontId="3" fillId="2" borderId="0" xfId="0" applyFont="1" applyFill="1" applyAlignment="1">
      <alignment horizontal="center" vertical="top"/>
    </xf>
    <xf numFmtId="49" fontId="47" fillId="0" borderId="0" xfId="0" applyNumberFormat="1" applyFont="1" applyBorder="1" applyAlignment="1">
      <alignment horizontal="center" wrapText="1"/>
    </xf>
    <xf numFmtId="0" fontId="6" fillId="0" borderId="1" xfId="0" applyFont="1" applyBorder="1" applyAlignment="1">
      <alignment vertical="top" wrapText="1"/>
    </xf>
    <xf numFmtId="49" fontId="47" fillId="0" borderId="7" xfId="0" applyNumberFormat="1" applyFont="1" applyBorder="1" applyAlignment="1">
      <alignment horizontal="left"/>
    </xf>
    <xf numFmtId="49" fontId="47" fillId="0" borderId="7" xfId="0" applyNumberFormat="1"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49" fontId="47" fillId="0" borderId="4" xfId="0" applyNumberFormat="1" applyFont="1" applyBorder="1" applyAlignment="1">
      <alignment horizontal="center"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right" wrapText="1"/>
    </xf>
    <xf numFmtId="0" fontId="6" fillId="0" borderId="2" xfId="0" applyFont="1" applyBorder="1" applyAlignment="1">
      <alignment horizontal="center" wrapText="1"/>
    </xf>
    <xf numFmtId="0" fontId="6" fillId="0" borderId="6" xfId="0" applyFont="1" applyBorder="1" applyAlignment="1">
      <alignment horizontal="center" wrapText="1"/>
    </xf>
    <xf numFmtId="0" fontId="51" fillId="0" borderId="1" xfId="4" applyFont="1" applyFill="1" applyBorder="1" applyAlignment="1">
      <alignment horizontal="center" vertical="center"/>
    </xf>
    <xf numFmtId="0" fontId="5" fillId="0" borderId="3" xfId="4" applyFont="1" applyFill="1" applyBorder="1" applyAlignment="1">
      <alignment horizontal="right"/>
    </xf>
    <xf numFmtId="0" fontId="5" fillId="0" borderId="4" xfId="4" applyFont="1" applyFill="1" applyBorder="1" applyAlignment="1">
      <alignment horizontal="right"/>
    </xf>
    <xf numFmtId="0" fontId="5" fillId="0" borderId="5" xfId="4" applyFont="1" applyFill="1" applyBorder="1" applyAlignment="1">
      <alignment horizontal="right"/>
    </xf>
    <xf numFmtId="0" fontId="50" fillId="2" borderId="1" xfId="4" applyFont="1" applyFill="1" applyBorder="1" applyAlignment="1">
      <alignment horizontal="center"/>
    </xf>
    <xf numFmtId="0" fontId="54" fillId="2" borderId="1" xfId="4" applyFont="1" applyFill="1" applyBorder="1" applyAlignment="1">
      <alignment horizontal="center"/>
    </xf>
    <xf numFmtId="0" fontId="37" fillId="0" borderId="0" xfId="0" applyFont="1" applyFill="1" applyAlignment="1">
      <alignment horizontal="center" vertical="top"/>
    </xf>
    <xf numFmtId="166" fontId="6" fillId="0" borderId="3" xfId="1" applyFont="1" applyBorder="1" applyAlignment="1">
      <alignment horizontal="center" vertical="top" wrapText="1"/>
    </xf>
    <xf numFmtId="166" fontId="6" fillId="0" borderId="4" xfId="1" applyFont="1" applyBorder="1" applyAlignment="1">
      <alignment horizontal="center" vertical="top" wrapText="1"/>
    </xf>
    <xf numFmtId="166" fontId="6" fillId="0" borderId="5" xfId="1" applyFont="1" applyBorder="1" applyAlignment="1">
      <alignment horizontal="center" vertical="top" wrapText="1"/>
    </xf>
    <xf numFmtId="0" fontId="8" fillId="0" borderId="0" xfId="0" applyFont="1" applyAlignment="1">
      <alignment horizontal="left"/>
    </xf>
    <xf numFmtId="0" fontId="6" fillId="0" borderId="2" xfId="0" applyFont="1" applyBorder="1" applyAlignment="1">
      <alignment horizontal="center" vertical="top" wrapText="1"/>
    </xf>
    <xf numFmtId="0" fontId="6" fillId="0" borderId="6" xfId="0" applyFont="1" applyBorder="1" applyAlignment="1">
      <alignment horizontal="center" vertical="top" wrapText="1"/>
    </xf>
    <xf numFmtId="0" fontId="8" fillId="0" borderId="0" xfId="0" applyFont="1" applyAlignment="1">
      <alignment horizontal="left" vertical="top" wrapText="1"/>
    </xf>
    <xf numFmtId="49" fontId="21" fillId="0" borderId="7" xfId="0" applyNumberFormat="1" applyFont="1" applyFill="1" applyBorder="1" applyAlignment="1">
      <alignment horizontal="center" vertical="top"/>
    </xf>
    <xf numFmtId="0" fontId="21" fillId="0" borderId="0" xfId="0" applyFont="1" applyFill="1" applyAlignment="1">
      <alignment horizontal="left" vertical="top"/>
    </xf>
    <xf numFmtId="0" fontId="36" fillId="0" borderId="0" xfId="0" applyFont="1" applyFill="1" applyAlignment="1">
      <alignment horizontal="left" vertical="top"/>
    </xf>
    <xf numFmtId="0" fontId="21" fillId="0" borderId="1" xfId="0" applyFont="1" applyFill="1" applyBorder="1" applyAlignment="1">
      <alignment horizontal="left" vertical="top"/>
    </xf>
    <xf numFmtId="0" fontId="8" fillId="0" borderId="0" xfId="0" applyFont="1" applyBorder="1" applyAlignment="1">
      <alignment horizontal="center" wrapText="1"/>
    </xf>
    <xf numFmtId="0" fontId="47" fillId="0" borderId="4" xfId="0" applyFont="1" applyBorder="1" applyAlignment="1">
      <alignment horizontal="left" wrapText="1"/>
    </xf>
    <xf numFmtId="0" fontId="8" fillId="0" borderId="0" xfId="0" applyFont="1" applyAlignment="1">
      <alignment horizontal="left" wrapText="1"/>
    </xf>
    <xf numFmtId="0" fontId="6" fillId="0" borderId="3" xfId="0" applyFont="1" applyBorder="1" applyAlignment="1">
      <alignment vertical="top" wrapText="1"/>
    </xf>
    <xf numFmtId="0" fontId="6" fillId="0" borderId="5" xfId="0" applyFont="1" applyBorder="1" applyAlignment="1">
      <alignment vertical="top" wrapText="1"/>
    </xf>
    <xf numFmtId="0" fontId="47" fillId="0" borderId="0" xfId="0" applyFont="1" applyAlignment="1">
      <alignment horizontal="left" vertical="top" wrapText="1"/>
    </xf>
    <xf numFmtId="0" fontId="8" fillId="0" borderId="0" xfId="0" applyFont="1" applyBorder="1" applyAlignment="1">
      <alignment horizontal="center"/>
    </xf>
    <xf numFmtId="49" fontId="47" fillId="0" borderId="7" xfId="0" applyNumberFormat="1" applyFont="1" applyBorder="1" applyAlignment="1">
      <alignment horizontal="center"/>
    </xf>
    <xf numFmtId="0" fontId="51" fillId="2" borderId="3" xfId="4" applyFont="1" applyFill="1" applyBorder="1" applyAlignment="1">
      <alignment horizontal="center" vertical="center" wrapText="1"/>
    </xf>
    <xf numFmtId="0" fontId="51" fillId="2" borderId="4" xfId="4" applyFont="1" applyFill="1" applyBorder="1" applyAlignment="1">
      <alignment horizontal="center" vertical="center" wrapText="1"/>
    </xf>
    <xf numFmtId="0" fontId="51" fillId="2" borderId="5"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50" fillId="2" borderId="4" xfId="4" applyFont="1" applyFill="1" applyBorder="1" applyAlignment="1">
      <alignment horizontal="center" vertical="center" wrapText="1"/>
    </xf>
    <xf numFmtId="0" fontId="50" fillId="2" borderId="5" xfId="4" applyFont="1" applyFill="1" applyBorder="1" applyAlignment="1">
      <alignment horizontal="center" vertical="center" wrapText="1"/>
    </xf>
    <xf numFmtId="0" fontId="17" fillId="2" borderId="4" xfId="5" applyFont="1" applyFill="1" applyBorder="1" applyAlignment="1">
      <alignment horizontal="center" vertical="center" wrapText="1"/>
    </xf>
    <xf numFmtId="0" fontId="51" fillId="2" borderId="4" xfId="4" applyFont="1" applyFill="1" applyBorder="1" applyAlignment="1">
      <alignment horizontal="left" vertical="center" wrapText="1"/>
    </xf>
    <xf numFmtId="0" fontId="17" fillId="11" borderId="3" xfId="5" applyFont="1" applyFill="1" applyBorder="1" applyAlignment="1">
      <alignment horizontal="center" vertical="center" wrapText="1"/>
    </xf>
    <xf numFmtId="0" fontId="17" fillId="11" borderId="4" xfId="5" applyFont="1" applyFill="1" applyBorder="1" applyAlignment="1">
      <alignment horizontal="center" vertical="center" wrapText="1"/>
    </xf>
    <xf numFmtId="0" fontId="17" fillId="11" borderId="5" xfId="5" applyFont="1" applyFill="1" applyBorder="1" applyAlignment="1">
      <alignment horizontal="center" vertical="center" wrapText="1"/>
    </xf>
    <xf numFmtId="0" fontId="55" fillId="2" borderId="3" xfId="5" applyFont="1" applyFill="1" applyBorder="1" applyAlignment="1">
      <alignment horizontal="right" vertical="center" wrapText="1"/>
    </xf>
    <xf numFmtId="0" fontId="55" fillId="2" borderId="4" xfId="5" applyFont="1" applyFill="1" applyBorder="1" applyAlignment="1">
      <alignment horizontal="right" vertical="center" wrapText="1"/>
    </xf>
    <xf numFmtId="0" fontId="55" fillId="2" borderId="5" xfId="5" applyFont="1" applyFill="1" applyBorder="1" applyAlignment="1">
      <alignment horizontal="right" vertical="center" wrapText="1"/>
    </xf>
    <xf numFmtId="0" fontId="17" fillId="2" borderId="3" xfId="5" applyFont="1" applyFill="1" applyBorder="1" applyAlignment="1">
      <alignment horizontal="center" vertical="center" wrapText="1"/>
    </xf>
    <xf numFmtId="0" fontId="17" fillId="2" borderId="5" xfId="5" applyFont="1" applyFill="1" applyBorder="1" applyAlignment="1">
      <alignment horizontal="center" vertical="center" wrapText="1"/>
    </xf>
    <xf numFmtId="0" fontId="6" fillId="0" borderId="3"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left" vertical="top" wrapText="1"/>
    </xf>
    <xf numFmtId="0" fontId="51" fillId="3" borderId="3" xfId="4" applyFont="1" applyFill="1" applyBorder="1" applyAlignment="1">
      <alignment horizontal="center" vertical="center"/>
    </xf>
    <xf numFmtId="0" fontId="51" fillId="3" borderId="4" xfId="4" applyFont="1" applyFill="1" applyBorder="1" applyAlignment="1">
      <alignment horizontal="center" vertical="center"/>
    </xf>
    <xf numFmtId="0" fontId="51" fillId="3" borderId="5" xfId="4" applyFont="1" applyFill="1" applyBorder="1" applyAlignment="1">
      <alignment horizontal="center" vertical="center"/>
    </xf>
    <xf numFmtId="0" fontId="50" fillId="3" borderId="1" xfId="4" applyFont="1" applyFill="1" applyBorder="1" applyAlignment="1">
      <alignment horizontal="center"/>
    </xf>
    <xf numFmtId="0" fontId="54" fillId="3" borderId="1" xfId="4" applyFont="1" applyFill="1" applyBorder="1" applyAlignment="1">
      <alignment horizontal="center"/>
    </xf>
    <xf numFmtId="0" fontId="0" fillId="0" borderId="5" xfId="0" applyBorder="1"/>
    <xf numFmtId="49" fontId="6" fillId="0" borderId="7" xfId="0" applyNumberFormat="1" applyFont="1" applyBorder="1" applyAlignment="1">
      <alignment horizontal="center"/>
    </xf>
    <xf numFmtId="49" fontId="6" fillId="0" borderId="4" xfId="0" applyNumberFormat="1" applyFont="1" applyBorder="1" applyAlignment="1">
      <alignment horizontal="justify" wrapText="1"/>
    </xf>
    <xf numFmtId="0" fontId="6" fillId="0" borderId="1" xfId="0" applyFont="1" applyBorder="1" applyAlignment="1">
      <alignment horizontal="justify" vertical="top" wrapText="1"/>
    </xf>
    <xf numFmtId="49" fontId="6" fillId="0" borderId="7" xfId="0" applyNumberFormat="1" applyFont="1" applyBorder="1" applyAlignment="1">
      <alignment horizontal="left"/>
    </xf>
    <xf numFmtId="0" fontId="51" fillId="0" borderId="3" xfId="4" applyFont="1" applyFill="1" applyBorder="1" applyAlignment="1">
      <alignment horizontal="center" vertical="center"/>
    </xf>
    <xf numFmtId="0" fontId="51" fillId="0" borderId="4" xfId="4" applyFont="1" applyFill="1" applyBorder="1" applyAlignment="1">
      <alignment horizontal="center" vertical="center"/>
    </xf>
    <xf numFmtId="0" fontId="51" fillId="0" borderId="5" xfId="4" applyFont="1" applyFill="1" applyBorder="1" applyAlignment="1">
      <alignment horizontal="center" vertical="center"/>
    </xf>
    <xf numFmtId="0" fontId="51" fillId="0" borderId="8" xfId="4" applyFont="1" applyFill="1" applyBorder="1" applyAlignment="1">
      <alignment horizontal="center" vertical="center"/>
    </xf>
    <xf numFmtId="0" fontId="51" fillId="0" borderId="13" xfId="4" applyFont="1" applyFill="1" applyBorder="1" applyAlignment="1">
      <alignment horizontal="center" vertical="center"/>
    </xf>
    <xf numFmtId="0" fontId="25" fillId="2" borderId="3"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11" fillId="0" borderId="3"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0" fontId="11" fillId="0" borderId="3" xfId="0" applyFont="1" applyBorder="1" applyAlignment="1">
      <alignment horizontal="right" vertical="top" wrapText="1"/>
    </xf>
    <xf numFmtId="0" fontId="11" fillId="0" borderId="4" xfId="0" applyFont="1" applyBorder="1" applyAlignment="1">
      <alignment horizontal="right" vertical="top" wrapText="1"/>
    </xf>
    <xf numFmtId="0" fontId="11" fillId="0" borderId="5" xfId="0" applyFont="1" applyBorder="1" applyAlignment="1">
      <alignment horizontal="right" vertical="top" wrapText="1"/>
    </xf>
    <xf numFmtId="0" fontId="51" fillId="2" borderId="1" xfId="0" applyFont="1" applyFill="1" applyBorder="1" applyAlignment="1">
      <alignment horizontal="center" vertical="center"/>
    </xf>
    <xf numFmtId="0" fontId="53" fillId="2" borderId="1" xfId="0" applyFont="1" applyFill="1" applyBorder="1" applyAlignment="1">
      <alignment horizontal="center" vertical="center"/>
    </xf>
    <xf numFmtId="0" fontId="55" fillId="2" borderId="1" xfId="0" applyFont="1" applyFill="1" applyBorder="1" applyAlignment="1">
      <alignment horizontal="right" vertical="center"/>
    </xf>
    <xf numFmtId="0" fontId="0" fillId="0" borderId="0" xfId="0" applyAlignment="1">
      <alignment horizont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vertical="center" wrapText="1"/>
    </xf>
    <xf numFmtId="0" fontId="2" fillId="0" borderId="15" xfId="0" applyFont="1" applyBorder="1" applyAlignment="1">
      <alignment vertical="center" wrapText="1"/>
    </xf>
    <xf numFmtId="0" fontId="34" fillId="0" borderId="0" xfId="0" applyFont="1" applyBorder="1" applyAlignment="1">
      <alignment horizontal="center" wrapText="1"/>
    </xf>
    <xf numFmtId="0" fontId="43" fillId="0" borderId="17"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0" xfId="0" applyFont="1" applyBorder="1" applyAlignment="1">
      <alignment horizontal="center" vertical="center" wrapText="1"/>
    </xf>
    <xf numFmtId="0" fontId="0" fillId="0" borderId="0" xfId="0" applyAlignment="1">
      <alignment horizont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165" fontId="3" fillId="0" borderId="29" xfId="0" applyNumberFormat="1" applyFont="1" applyBorder="1" applyAlignment="1">
      <alignment vertical="center" wrapText="1"/>
    </xf>
    <xf numFmtId="0" fontId="3" fillId="0" borderId="33" xfId="0" applyFont="1" applyBorder="1" applyAlignment="1">
      <alignment vertical="center" wrapText="1"/>
    </xf>
    <xf numFmtId="165" fontId="3" fillId="0" borderId="1" xfId="0" applyNumberFormat="1" applyFont="1" applyBorder="1" applyAlignment="1">
      <alignment vertical="center" wrapText="1"/>
    </xf>
    <xf numFmtId="0" fontId="3" fillId="0" borderId="31" xfId="0" applyFont="1" applyBorder="1" applyAlignment="1">
      <alignment vertical="center" wrapText="1"/>
    </xf>
    <xf numFmtId="166" fontId="0" fillId="0" borderId="2" xfId="0" applyNumberFormat="1" applyBorder="1" applyAlignment="1">
      <alignment horizontal="center"/>
    </xf>
    <xf numFmtId="0" fontId="0" fillId="0" borderId="32" xfId="0" applyBorder="1" applyAlignment="1">
      <alignment horizontal="center"/>
    </xf>
    <xf numFmtId="0" fontId="3" fillId="0" borderId="29" xfId="0" applyFont="1" applyBorder="1" applyAlignment="1">
      <alignment vertical="center" wrapText="1"/>
    </xf>
    <xf numFmtId="0" fontId="3" fillId="0" borderId="1" xfId="0" applyFont="1" applyBorder="1" applyAlignment="1">
      <alignment vertical="center" wrapText="1"/>
    </xf>
    <xf numFmtId="0" fontId="0" fillId="0" borderId="6" xfId="0" applyBorder="1" applyAlignment="1">
      <alignment horizontal="center"/>
    </xf>
    <xf numFmtId="165"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31" xfId="0" applyFont="1" applyBorder="1" applyAlignment="1">
      <alignment horizontal="center" vertical="center"/>
    </xf>
    <xf numFmtId="0" fontId="38" fillId="0" borderId="1" xfId="0" applyFont="1" applyBorder="1" applyAlignment="1">
      <alignment horizontal="center" vertical="center" wrapText="1"/>
    </xf>
    <xf numFmtId="0" fontId="0" fillId="0" borderId="0" xfId="0" applyAlignment="1">
      <alignment horizontal="left" wrapText="1"/>
    </xf>
    <xf numFmtId="4" fontId="3" fillId="0" borderId="17" xfId="0" applyNumberFormat="1" applyFont="1" applyBorder="1" applyAlignment="1">
      <alignment vertical="center" wrapText="1"/>
    </xf>
    <xf numFmtId="4" fontId="3" fillId="0" borderId="15" xfId="0" applyNumberFormat="1" applyFont="1" applyBorder="1" applyAlignment="1">
      <alignment vertical="center" wrapText="1"/>
    </xf>
    <xf numFmtId="0" fontId="21" fillId="2" borderId="41" xfId="0" applyFont="1" applyFill="1" applyBorder="1" applyAlignment="1">
      <alignment horizontal="left" vertical="top"/>
    </xf>
    <xf numFmtId="0" fontId="21" fillId="2" borderId="42" xfId="0" applyFont="1" applyFill="1" applyBorder="1" applyAlignment="1">
      <alignment horizontal="left" vertical="top"/>
    </xf>
    <xf numFmtId="0" fontId="21" fillId="2" borderId="43" xfId="0" applyFont="1" applyFill="1" applyBorder="1" applyAlignment="1">
      <alignment horizontal="left" vertical="top"/>
    </xf>
    <xf numFmtId="0" fontId="21" fillId="2" borderId="3" xfId="0" applyFont="1" applyFill="1" applyBorder="1" applyAlignment="1">
      <alignment horizontal="left" vertical="top"/>
    </xf>
    <xf numFmtId="0" fontId="21" fillId="2" borderId="4" xfId="0" applyFont="1" applyFill="1" applyBorder="1" applyAlignment="1">
      <alignment horizontal="left" vertical="top"/>
    </xf>
    <xf numFmtId="0" fontId="21" fillId="2" borderId="5" xfId="0" applyFont="1" applyFill="1" applyBorder="1" applyAlignment="1">
      <alignment horizontal="left" vertical="top"/>
    </xf>
    <xf numFmtId="0" fontId="36" fillId="2" borderId="3" xfId="0" applyFont="1" applyFill="1" applyBorder="1" applyAlignment="1">
      <alignment horizontal="left" vertical="top"/>
    </xf>
    <xf numFmtId="0" fontId="36" fillId="2" borderId="4" xfId="0" applyFont="1" applyFill="1" applyBorder="1" applyAlignment="1">
      <alignment horizontal="left" vertical="top"/>
    </xf>
    <xf numFmtId="0" fontId="18" fillId="3" borderId="3" xfId="0" applyFont="1" applyFill="1" applyBorder="1" applyAlignment="1">
      <alignment vertical="top" wrapText="1"/>
    </xf>
    <xf numFmtId="0" fontId="18" fillId="3" borderId="4" xfId="0" applyFont="1" applyFill="1" applyBorder="1" applyAlignment="1">
      <alignment vertical="top" wrapText="1"/>
    </xf>
    <xf numFmtId="0" fontId="18" fillId="3" borderId="5" xfId="0" applyFont="1" applyFill="1" applyBorder="1" applyAlignment="1">
      <alignment vertical="top" wrapText="1"/>
    </xf>
    <xf numFmtId="0" fontId="28" fillId="5" borderId="17" xfId="0" applyFont="1" applyFill="1" applyBorder="1" applyAlignment="1">
      <alignment horizontal="left" vertical="center" wrapText="1" indent="6"/>
    </xf>
    <xf numFmtId="0" fontId="28" fillId="5" borderId="15" xfId="0" applyFont="1" applyFill="1" applyBorder="1" applyAlignment="1">
      <alignment horizontal="left" vertical="center" wrapText="1" indent="6"/>
    </xf>
    <xf numFmtId="0" fontId="28" fillId="5" borderId="17"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10" fillId="2" borderId="0" xfId="0" applyFont="1" applyFill="1" applyBorder="1" applyAlignment="1">
      <alignment horizontal="left" wrapText="1"/>
    </xf>
    <xf numFmtId="0" fontId="15" fillId="2" borderId="0" xfId="0" applyFont="1" applyFill="1" applyBorder="1" applyAlignment="1">
      <alignment horizontal="right"/>
    </xf>
    <xf numFmtId="0" fontId="17" fillId="2" borderId="7" xfId="0" applyFont="1" applyFill="1" applyBorder="1" applyAlignment="1">
      <alignment horizont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top"/>
    </xf>
    <xf numFmtId="0" fontId="3" fillId="2" borderId="0" xfId="0" applyFont="1" applyFill="1" applyBorder="1" applyAlignment="1">
      <alignment horizontal="right"/>
    </xf>
    <xf numFmtId="0" fontId="15" fillId="2" borderId="0" xfId="0" applyFont="1" applyFill="1" applyBorder="1" applyAlignment="1">
      <alignment horizontal="center"/>
    </xf>
    <xf numFmtId="0" fontId="15" fillId="2" borderId="1" xfId="0" applyFont="1" applyFill="1" applyBorder="1" applyAlignment="1">
      <alignment horizontal="center"/>
    </xf>
    <xf numFmtId="0" fontId="17" fillId="2" borderId="0" xfId="0" applyFont="1" applyFill="1" applyBorder="1" applyAlignment="1">
      <alignment horizontal="right"/>
    </xf>
    <xf numFmtId="14" fontId="15" fillId="2" borderId="1" xfId="0" applyNumberFormat="1" applyFont="1" applyFill="1" applyBorder="1" applyAlignment="1">
      <alignment horizontal="center"/>
    </xf>
    <xf numFmtId="0" fontId="17" fillId="2" borderId="2" xfId="0" applyFont="1" applyFill="1" applyBorder="1" applyAlignment="1">
      <alignment horizontal="left" vertical="center"/>
    </xf>
    <xf numFmtId="0" fontId="17" fillId="2" borderId="6" xfId="0" applyFont="1" applyFill="1" applyBorder="1" applyAlignment="1">
      <alignment horizontal="left" vertical="center"/>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1"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2" borderId="3" xfId="0" applyFont="1" applyFill="1" applyBorder="1" applyAlignment="1">
      <alignment horizontal="center"/>
    </xf>
    <xf numFmtId="0" fontId="17" fillId="2" borderId="5" xfId="0" applyFont="1" applyFill="1" applyBorder="1" applyAlignment="1">
      <alignment horizontal="center"/>
    </xf>
    <xf numFmtId="0" fontId="17" fillId="2" borderId="2"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2" xfId="0" applyFont="1" applyFill="1" applyBorder="1" applyAlignment="1">
      <alignment horizontal="center" vertical="center" textRotation="90" wrapText="1"/>
    </xf>
    <xf numFmtId="0" fontId="17" fillId="2" borderId="9" xfId="0" applyFont="1" applyFill="1" applyBorder="1" applyAlignment="1">
      <alignment horizontal="center" vertical="center" textRotation="90" wrapText="1"/>
    </xf>
    <xf numFmtId="0" fontId="17" fillId="2" borderId="6" xfId="0" applyFont="1" applyFill="1" applyBorder="1" applyAlignment="1">
      <alignment horizontal="center" vertical="center" textRotation="90" wrapText="1"/>
    </xf>
    <xf numFmtId="0" fontId="17" fillId="0" borderId="1" xfId="0" applyFont="1" applyBorder="1" applyAlignment="1">
      <alignment horizontal="center" vertical="center" textRotation="90" wrapText="1"/>
    </xf>
    <xf numFmtId="0" fontId="17" fillId="0" borderId="9" xfId="0" applyFont="1" applyBorder="1" applyAlignment="1">
      <alignment horizontal="center" vertical="center" textRotation="90" wrapText="1"/>
    </xf>
    <xf numFmtId="0" fontId="17" fillId="0" borderId="6" xfId="0" applyFont="1" applyBorder="1" applyAlignment="1">
      <alignment horizontal="center" vertical="center" textRotation="90" wrapText="1"/>
    </xf>
    <xf numFmtId="0" fontId="17" fillId="0" borderId="2" xfId="0" applyFont="1" applyBorder="1" applyAlignment="1">
      <alignment horizontal="center" vertical="center" textRotation="90" wrapText="1"/>
    </xf>
    <xf numFmtId="0" fontId="17" fillId="2" borderId="0" xfId="0" applyFont="1" applyFill="1" applyBorder="1" applyAlignment="1">
      <alignment horizontal="left" vertical="top" wrapText="1"/>
    </xf>
    <xf numFmtId="0" fontId="15" fillId="2" borderId="7" xfId="0" applyFont="1" applyFill="1" applyBorder="1" applyAlignment="1">
      <alignment horizontal="center"/>
    </xf>
    <xf numFmtId="0" fontId="17" fillId="2" borderId="0" xfId="0" applyFont="1" applyFill="1" applyBorder="1" applyAlignment="1">
      <alignment horizontal="left" wrapText="1"/>
    </xf>
    <xf numFmtId="0" fontId="15" fillId="2" borderId="0" xfId="0" applyFont="1" applyFill="1" applyBorder="1" applyAlignment="1">
      <alignment horizontal="center" vertical="top"/>
    </xf>
    <xf numFmtId="0" fontId="17" fillId="2" borderId="0" xfId="0" applyFont="1" applyFill="1" applyBorder="1" applyAlignment="1">
      <alignment horizontal="center"/>
    </xf>
    <xf numFmtId="49" fontId="17" fillId="2" borderId="2" xfId="0" applyNumberFormat="1" applyFont="1" applyFill="1" applyBorder="1" applyAlignment="1">
      <alignment horizontal="center" vertical="center" textRotation="90" wrapText="1"/>
    </xf>
    <xf numFmtId="49" fontId="17" fillId="2" borderId="9" xfId="0" applyNumberFormat="1" applyFont="1" applyFill="1" applyBorder="1" applyAlignment="1">
      <alignment horizontal="center" vertical="center" textRotation="90" wrapText="1"/>
    </xf>
    <xf numFmtId="49" fontId="17" fillId="2" borderId="6" xfId="0" applyNumberFormat="1" applyFont="1" applyFill="1" applyBorder="1" applyAlignment="1">
      <alignment horizontal="center" vertical="center" textRotation="90" wrapText="1"/>
    </xf>
    <xf numFmtId="0" fontId="15" fillId="2" borderId="8" xfId="0" applyFont="1" applyFill="1" applyBorder="1" applyAlignment="1">
      <alignment horizontal="center"/>
    </xf>
    <xf numFmtId="0" fontId="17" fillId="2" borderId="0" xfId="0" applyFont="1" applyFill="1" applyBorder="1" applyAlignment="1">
      <alignment horizontal="left"/>
    </xf>
    <xf numFmtId="0" fontId="0" fillId="0" borderId="7" xfId="0" applyBorder="1" applyAlignment="1">
      <alignment horizontal="center"/>
    </xf>
    <xf numFmtId="0" fontId="6" fillId="0" borderId="7" xfId="0" applyFont="1" applyBorder="1" applyAlignment="1">
      <alignment horizontal="center"/>
    </xf>
    <xf numFmtId="43" fontId="25" fillId="2" borderId="0" xfId="0" applyNumberFormat="1" applyFont="1" applyFill="1" applyAlignment="1">
      <alignment horizontal="center" vertical="center"/>
    </xf>
  </cellXfs>
  <cellStyles count="7">
    <cellStyle name="Excel Built-in Normal" xfId="4"/>
    <cellStyle name="Обычный" xfId="0" builtinId="0"/>
    <cellStyle name="Обычный 2" xfId="2"/>
    <cellStyle name="Обычный 2 2 2" xfId="5"/>
    <cellStyle name="Финансовый" xfId="1" builtinId="3"/>
    <cellStyle name="Финансовый 2" xfId="3"/>
    <cellStyle name="Финансовый 3" xfId="6"/>
  </cellStyles>
  <dxfs count="0"/>
  <tableStyles count="0" defaultTableStyle="TableStyleMedium9" defaultPivotStyle="PivotStyleLight16"/>
  <colors>
    <mruColors>
      <color rgb="FFCCFFFF"/>
      <color rgb="FFCCECFF"/>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opLeftCell="A7" zoomScaleNormal="90" workbookViewId="0">
      <selection activeCell="D29" sqref="D29:E31"/>
    </sheetView>
  </sheetViews>
  <sheetFormatPr defaultRowHeight="15" x14ac:dyDescent="0.25"/>
  <cols>
    <col min="1" max="1" width="9.7109375" customWidth="1"/>
    <col min="2" max="2" width="10" customWidth="1"/>
    <col min="3" max="3" width="11.28515625" customWidth="1"/>
    <col min="4" max="4" width="15.85546875" customWidth="1"/>
    <col min="5" max="5" width="11.28515625" customWidth="1"/>
    <col min="6" max="6" width="10.42578125" customWidth="1"/>
    <col min="7" max="7" width="7.85546875" customWidth="1"/>
    <col min="8" max="8" width="6.7109375" customWidth="1"/>
  </cols>
  <sheetData>
    <row r="1" spans="1:8" ht="6" customHeight="1" x14ac:dyDescent="0.25">
      <c r="A1" s="755"/>
      <c r="B1" s="755"/>
      <c r="C1" s="755"/>
    </row>
    <row r="2" spans="1:8" ht="47.25" customHeight="1" x14ac:dyDescent="0.25">
      <c r="A2" s="755"/>
      <c r="B2" s="755"/>
      <c r="C2" s="755"/>
      <c r="D2" s="759" t="s">
        <v>655</v>
      </c>
      <c r="E2" s="759"/>
      <c r="F2" s="759"/>
      <c r="G2" s="759"/>
      <c r="H2" s="759"/>
    </row>
    <row r="3" spans="1:8" s="208" customFormat="1" ht="21" customHeight="1" x14ac:dyDescent="0.25">
      <c r="A3" s="755"/>
      <c r="B3" s="755"/>
      <c r="C3" s="755"/>
      <c r="D3" s="765" t="s">
        <v>662</v>
      </c>
      <c r="E3" s="765"/>
      <c r="F3" s="765"/>
      <c r="G3" s="765"/>
      <c r="H3" s="765"/>
    </row>
    <row r="4" spans="1:8" s="208" customFormat="1" ht="47.25" customHeight="1" x14ac:dyDescent="0.25">
      <c r="A4" s="755"/>
      <c r="B4" s="755"/>
      <c r="C4" s="755"/>
      <c r="D4" s="764" t="s">
        <v>1052</v>
      </c>
      <c r="E4" s="764"/>
      <c r="F4" s="764"/>
      <c r="G4" s="764"/>
      <c r="H4" s="764"/>
    </row>
    <row r="5" spans="1:8" ht="28.9" customHeight="1" x14ac:dyDescent="0.25">
      <c r="A5" s="755"/>
      <c r="B5" s="755"/>
      <c r="C5" s="755"/>
      <c r="D5" s="760" t="s">
        <v>965</v>
      </c>
      <c r="E5" s="760"/>
      <c r="F5" s="760"/>
      <c r="G5" s="760"/>
      <c r="H5" s="760"/>
    </row>
    <row r="6" spans="1:8" ht="24" customHeight="1" x14ac:dyDescent="0.25">
      <c r="A6" s="755"/>
      <c r="B6" s="755"/>
      <c r="C6" s="755"/>
      <c r="D6" s="761" t="s">
        <v>1049</v>
      </c>
      <c r="E6" s="761"/>
      <c r="F6" s="761"/>
      <c r="G6" s="761"/>
      <c r="H6" s="761"/>
    </row>
    <row r="7" spans="1:8" ht="15.6" customHeight="1" x14ac:dyDescent="0.25">
      <c r="A7" s="755"/>
      <c r="B7" s="755"/>
      <c r="C7" s="755"/>
      <c r="D7" s="762" t="s">
        <v>396</v>
      </c>
      <c r="E7" s="762"/>
      <c r="F7" s="762"/>
      <c r="G7" s="762"/>
      <c r="H7" s="762"/>
    </row>
    <row r="8" spans="1:8" ht="15.6" customHeight="1" x14ac:dyDescent="0.25">
      <c r="A8" s="755"/>
      <c r="B8" s="755"/>
      <c r="C8" s="755"/>
      <c r="D8" s="107"/>
      <c r="E8" s="107"/>
      <c r="F8" s="107"/>
      <c r="G8" s="107"/>
      <c r="H8" s="107"/>
    </row>
    <row r="9" spans="1:8" ht="21" customHeight="1" x14ac:dyDescent="0.25">
      <c r="A9" s="755"/>
      <c r="B9" s="755"/>
      <c r="C9" s="755"/>
      <c r="D9" s="763"/>
      <c r="E9" s="763"/>
      <c r="F9" s="763"/>
      <c r="G9" s="763"/>
      <c r="H9" s="763"/>
    </row>
    <row r="10" spans="1:8" ht="3" hidden="1" customHeight="1" x14ac:dyDescent="0.25">
      <c r="A10" s="755"/>
      <c r="B10" s="755"/>
      <c r="C10" s="755"/>
      <c r="D10" s="766"/>
      <c r="E10" s="766"/>
      <c r="F10" s="766"/>
      <c r="G10" s="766"/>
      <c r="H10" s="766"/>
    </row>
    <row r="11" spans="1:8" ht="10.5" customHeight="1" x14ac:dyDescent="0.25">
      <c r="A11" s="2"/>
      <c r="B11" s="2"/>
      <c r="C11" s="2"/>
      <c r="D11" s="3"/>
      <c r="E11" s="3"/>
      <c r="F11" s="3"/>
      <c r="G11" s="3"/>
      <c r="H11" s="3"/>
    </row>
    <row r="12" spans="1:8" x14ac:dyDescent="0.25">
      <c r="A12" s="2"/>
      <c r="B12" s="2"/>
      <c r="C12" s="2"/>
      <c r="D12" s="1"/>
      <c r="E12" s="2"/>
      <c r="F12" s="2"/>
      <c r="G12" s="2"/>
      <c r="H12" s="2"/>
    </row>
    <row r="13" spans="1:8" ht="17.45" customHeight="1" x14ac:dyDescent="0.25">
      <c r="A13" s="770" t="s">
        <v>8</v>
      </c>
      <c r="B13" s="770"/>
      <c r="C13" s="770"/>
      <c r="D13" s="770"/>
      <c r="E13" s="770"/>
      <c r="F13" s="770"/>
      <c r="G13" s="770"/>
      <c r="H13" s="2"/>
    </row>
    <row r="14" spans="1:8" ht="34.9" customHeight="1" x14ac:dyDescent="0.25">
      <c r="A14" s="770" t="s">
        <v>656</v>
      </c>
      <c r="B14" s="770"/>
      <c r="C14" s="770"/>
      <c r="D14" s="770"/>
      <c r="E14" s="770"/>
      <c r="F14" s="770"/>
      <c r="G14" s="770"/>
      <c r="H14" s="2"/>
    </row>
    <row r="15" spans="1:8" ht="18.75" x14ac:dyDescent="0.25">
      <c r="A15" s="7"/>
      <c r="B15" s="7"/>
      <c r="C15" s="7"/>
      <c r="D15" s="7"/>
      <c r="E15" s="7"/>
      <c r="F15" s="6"/>
      <c r="G15" s="8" t="s">
        <v>9</v>
      </c>
      <c r="H15" s="2"/>
    </row>
    <row r="16" spans="1:8" ht="18.75" x14ac:dyDescent="0.25">
      <c r="A16" s="7"/>
      <c r="B16" s="7"/>
      <c r="C16" s="7"/>
      <c r="D16" s="7"/>
      <c r="E16" s="7"/>
      <c r="F16" s="9"/>
      <c r="G16" s="767"/>
      <c r="H16" s="767"/>
    </row>
    <row r="17" spans="1:8" x14ac:dyDescent="0.25">
      <c r="A17" s="771" t="s">
        <v>1053</v>
      </c>
      <c r="B17" s="771"/>
      <c r="C17" s="771"/>
      <c r="D17" s="771"/>
      <c r="E17" s="771"/>
      <c r="F17" s="9" t="s">
        <v>10</v>
      </c>
      <c r="G17" s="772">
        <v>44165</v>
      </c>
      <c r="H17" s="767"/>
    </row>
    <row r="18" spans="1:8" ht="24" customHeight="1" x14ac:dyDescent="0.25">
      <c r="A18" s="6"/>
      <c r="B18" s="6"/>
      <c r="C18" s="6"/>
      <c r="D18" s="6"/>
      <c r="E18" s="6"/>
      <c r="F18" s="9" t="s">
        <v>439</v>
      </c>
      <c r="G18" s="767"/>
      <c r="H18" s="767"/>
    </row>
    <row r="19" spans="1:8" x14ac:dyDescent="0.25">
      <c r="A19" s="2"/>
      <c r="B19" s="2"/>
      <c r="C19" s="2"/>
      <c r="D19" s="1"/>
      <c r="E19" s="2"/>
      <c r="F19" s="9"/>
      <c r="G19" s="767"/>
      <c r="H19" s="767"/>
    </row>
    <row r="20" spans="1:8" ht="93.75" customHeight="1" x14ac:dyDescent="0.25">
      <c r="A20" s="753" t="s">
        <v>663</v>
      </c>
      <c r="B20" s="753"/>
      <c r="C20" s="753"/>
      <c r="D20" s="758" t="s">
        <v>657</v>
      </c>
      <c r="E20" s="758"/>
      <c r="F20" s="9" t="s">
        <v>440</v>
      </c>
      <c r="G20" s="767" t="s">
        <v>15</v>
      </c>
      <c r="H20" s="767"/>
    </row>
    <row r="21" spans="1:8" ht="27.75" customHeight="1" x14ac:dyDescent="0.25">
      <c r="A21" s="753"/>
      <c r="B21" s="753"/>
      <c r="C21" s="753"/>
      <c r="D21" s="757"/>
      <c r="E21" s="757"/>
      <c r="F21" s="9" t="s">
        <v>439</v>
      </c>
      <c r="G21" s="768"/>
      <c r="H21" s="768"/>
    </row>
    <row r="22" spans="1:8" x14ac:dyDescent="0.25">
      <c r="A22" s="753"/>
      <c r="B22" s="753"/>
      <c r="C22" s="753"/>
      <c r="D22" s="757"/>
      <c r="E22" s="757"/>
      <c r="F22" s="2" t="s">
        <v>441</v>
      </c>
      <c r="G22" s="769" t="s">
        <v>659</v>
      </c>
      <c r="H22" s="769"/>
    </row>
    <row r="23" spans="1:8" ht="21" customHeight="1" x14ac:dyDescent="0.25">
      <c r="A23" s="753"/>
      <c r="B23" s="753"/>
      <c r="C23" s="753"/>
      <c r="D23" s="754"/>
      <c r="E23" s="754"/>
      <c r="F23" s="10" t="s">
        <v>13</v>
      </c>
      <c r="G23" s="769" t="s">
        <v>660</v>
      </c>
      <c r="H23" s="769"/>
    </row>
    <row r="24" spans="1:8" x14ac:dyDescent="0.25">
      <c r="A24" s="755"/>
      <c r="B24" s="755"/>
      <c r="C24" s="755"/>
      <c r="D24" s="4"/>
      <c r="E24" s="2"/>
      <c r="F24" s="8"/>
      <c r="G24" s="767"/>
      <c r="H24" s="767"/>
    </row>
    <row r="25" spans="1:8" ht="95.25" customHeight="1" x14ac:dyDescent="0.25">
      <c r="A25" s="755" t="s">
        <v>11</v>
      </c>
      <c r="B25" s="755"/>
      <c r="C25" s="755"/>
      <c r="D25" s="754" t="s">
        <v>658</v>
      </c>
      <c r="E25" s="754"/>
      <c r="F25" s="9" t="s">
        <v>12</v>
      </c>
      <c r="G25" s="767">
        <v>383</v>
      </c>
      <c r="H25" s="767"/>
    </row>
    <row r="26" spans="1:8" ht="39.6" customHeight="1" x14ac:dyDescent="0.25">
      <c r="A26" t="s">
        <v>442</v>
      </c>
      <c r="C26" t="s">
        <v>6</v>
      </c>
      <c r="F26" s="9"/>
      <c r="G26" s="9"/>
      <c r="H26" s="2"/>
    </row>
    <row r="27" spans="1:8" x14ac:dyDescent="0.25">
      <c r="F27" s="9"/>
      <c r="G27" s="9"/>
      <c r="H27" s="2"/>
    </row>
    <row r="28" spans="1:8" ht="20.45" customHeight="1" x14ac:dyDescent="0.25">
      <c r="F28" s="9"/>
      <c r="G28" s="9"/>
      <c r="H28" s="2"/>
    </row>
    <row r="29" spans="1:8" ht="25.9" customHeight="1" x14ac:dyDescent="0.25">
      <c r="A29" s="753"/>
      <c r="B29" s="753"/>
      <c r="C29" s="753"/>
      <c r="D29" s="756"/>
      <c r="E29" s="756"/>
      <c r="F29" s="2"/>
      <c r="G29" s="2"/>
      <c r="H29" s="2"/>
    </row>
    <row r="30" spans="1:8" x14ac:dyDescent="0.25">
      <c r="A30" s="753"/>
      <c r="B30" s="753"/>
      <c r="C30" s="753"/>
      <c r="D30" s="756"/>
      <c r="E30" s="756"/>
      <c r="F30" s="2"/>
      <c r="G30" s="2"/>
      <c r="H30" s="2"/>
    </row>
    <row r="31" spans="1:8" ht="24" customHeight="1" x14ac:dyDescent="0.25">
      <c r="A31" s="753"/>
      <c r="B31" s="753"/>
      <c r="C31" s="753"/>
      <c r="D31" s="756"/>
      <c r="E31" s="756"/>
      <c r="F31" s="2"/>
      <c r="G31" s="2"/>
      <c r="H31" s="2"/>
    </row>
    <row r="32" spans="1:8" x14ac:dyDescent="0.25">
      <c r="A32" s="2"/>
      <c r="B32" s="2"/>
      <c r="C32" s="1"/>
      <c r="D32" s="1"/>
      <c r="E32" s="1"/>
      <c r="F32" s="2"/>
      <c r="G32" s="2"/>
      <c r="H32" s="2"/>
    </row>
  </sheetData>
  <mergeCells count="33">
    <mergeCell ref="G18:H18"/>
    <mergeCell ref="A13:G13"/>
    <mergeCell ref="A14:G14"/>
    <mergeCell ref="G16:H16"/>
    <mergeCell ref="A17:E17"/>
    <mergeCell ref="G17:H17"/>
    <mergeCell ref="G24:H24"/>
    <mergeCell ref="G25:H25"/>
    <mergeCell ref="G20:H20"/>
    <mergeCell ref="G21:H21"/>
    <mergeCell ref="G19:H19"/>
    <mergeCell ref="G22:H22"/>
    <mergeCell ref="G23:H23"/>
    <mergeCell ref="A1:A10"/>
    <mergeCell ref="B1:B10"/>
    <mergeCell ref="C1:C10"/>
    <mergeCell ref="D2:H2"/>
    <mergeCell ref="D5:H5"/>
    <mergeCell ref="D6:H6"/>
    <mergeCell ref="D7:H7"/>
    <mergeCell ref="D9:H9"/>
    <mergeCell ref="D4:H4"/>
    <mergeCell ref="D3:H3"/>
    <mergeCell ref="D10:H10"/>
    <mergeCell ref="A29:C31"/>
    <mergeCell ref="D25:E25"/>
    <mergeCell ref="A24:C24"/>
    <mergeCell ref="D29:E31"/>
    <mergeCell ref="A20:C20"/>
    <mergeCell ref="D21:E23"/>
    <mergeCell ref="A21:C23"/>
    <mergeCell ref="A25:C25"/>
    <mergeCell ref="D20:E20"/>
  </mergeCells>
  <printOptions horizontalCentered="1"/>
  <pageMargins left="0.78740157480314965" right="0.59055118110236227" top="1.2598425196850394" bottom="0.59055118110236227" header="0" footer="0"/>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topLeftCell="C16" zoomScale="60" zoomScaleNormal="60" workbookViewId="0">
      <selection activeCell="Y40" sqref="Y40"/>
    </sheetView>
  </sheetViews>
  <sheetFormatPr defaultColWidth="11.140625" defaultRowHeight="15" x14ac:dyDescent="0.25"/>
  <cols>
    <col min="1" max="1" width="4.28515625" style="18" customWidth="1"/>
    <col min="2" max="2" width="11.7109375" style="18" customWidth="1"/>
    <col min="3" max="3" width="21.7109375" style="18" customWidth="1"/>
    <col min="4" max="4" width="17.85546875" style="18" customWidth="1"/>
    <col min="5" max="5" width="9.28515625" style="18" customWidth="1"/>
    <col min="6" max="6" width="11.7109375" style="18" customWidth="1"/>
    <col min="7" max="7" width="12.28515625" style="18" customWidth="1"/>
    <col min="8" max="8" width="8.28515625" style="18" customWidth="1"/>
    <col min="9" max="9" width="10.7109375" style="18" customWidth="1"/>
    <col min="10" max="10" width="8.7109375" style="18" customWidth="1"/>
    <col min="11" max="11" width="12.140625" style="18" customWidth="1"/>
    <col min="12" max="12" width="8.28515625" style="18" customWidth="1"/>
    <col min="13" max="13" width="7.7109375" style="18" customWidth="1"/>
    <col min="14" max="14" width="6.28515625" style="18" customWidth="1"/>
    <col min="15" max="15" width="12" style="18" customWidth="1"/>
    <col min="16" max="16" width="7.7109375" style="18" customWidth="1"/>
    <col min="17" max="17" width="8.28515625" style="18" customWidth="1"/>
    <col min="18" max="18" width="11.140625" style="18"/>
    <col min="19" max="19" width="10.28515625" style="18" customWidth="1"/>
    <col min="20" max="20" width="11.7109375" style="18" customWidth="1"/>
    <col min="21" max="21" width="8.28515625" style="18" customWidth="1"/>
    <col min="22" max="22" width="12" style="18" customWidth="1"/>
    <col min="23" max="23" width="8.7109375" style="18" customWidth="1"/>
    <col min="24" max="24" width="12.28515625" style="18" customWidth="1"/>
    <col min="25" max="25" width="14.140625" style="18" customWidth="1"/>
    <col min="26" max="26" width="13.7109375" style="18" customWidth="1"/>
    <col min="27" max="16384" width="11.140625" style="18"/>
  </cols>
  <sheetData>
    <row r="1" spans="1:37" ht="15.75" x14ac:dyDescent="0.25">
      <c r="B1" s="19"/>
      <c r="C1" s="19"/>
      <c r="D1" s="19"/>
      <c r="E1" s="19"/>
      <c r="F1" s="19"/>
      <c r="G1" s="19"/>
      <c r="H1" s="19"/>
      <c r="I1" s="19"/>
      <c r="J1" s="19"/>
      <c r="K1" s="19"/>
      <c r="L1" s="19"/>
      <c r="M1" s="19"/>
      <c r="N1" s="19"/>
      <c r="O1" s="19"/>
      <c r="P1" s="19"/>
      <c r="Q1" s="19"/>
      <c r="R1" s="19"/>
      <c r="S1" s="19"/>
      <c r="T1" s="19"/>
      <c r="U1" s="19"/>
      <c r="V1" s="20"/>
      <c r="W1" s="20"/>
      <c r="X1" s="21" t="s">
        <v>81</v>
      </c>
      <c r="Y1" s="19"/>
      <c r="Z1" s="19"/>
      <c r="AA1" s="19"/>
      <c r="AB1" s="19"/>
      <c r="AC1" s="19"/>
      <c r="AD1" s="20"/>
      <c r="AE1" s="19"/>
    </row>
    <row r="2" spans="1:37" ht="55.15" customHeight="1" x14ac:dyDescent="0.25">
      <c r="B2" s="22"/>
      <c r="C2" s="22"/>
      <c r="D2" s="22"/>
      <c r="E2" s="22"/>
      <c r="F2" s="22"/>
      <c r="G2" s="22"/>
      <c r="H2" s="22"/>
      <c r="I2" s="22"/>
      <c r="J2" s="22"/>
      <c r="K2" s="22"/>
      <c r="L2" s="22"/>
      <c r="M2" s="22"/>
      <c r="N2" s="22"/>
      <c r="O2" s="22"/>
      <c r="P2" s="22"/>
      <c r="Q2" s="22"/>
      <c r="R2" s="22"/>
      <c r="S2" s="22"/>
      <c r="T2" s="22"/>
      <c r="U2" s="977" t="s">
        <v>82</v>
      </c>
      <c r="V2" s="977"/>
      <c r="W2" s="977"/>
      <c r="X2" s="977"/>
      <c r="Y2" s="23"/>
      <c r="Z2" s="23"/>
      <c r="AA2" s="23"/>
      <c r="AB2" s="19"/>
      <c r="AC2" s="19"/>
      <c r="AD2" s="20"/>
      <c r="AE2" s="19"/>
    </row>
    <row r="3" spans="1:37" ht="33" customHeight="1" x14ac:dyDescent="0.25">
      <c r="B3" s="22"/>
      <c r="C3" s="22"/>
      <c r="D3" s="22"/>
      <c r="E3" s="22"/>
      <c r="F3" s="22"/>
      <c r="G3" s="22"/>
      <c r="H3" s="22"/>
      <c r="I3" s="22"/>
      <c r="J3" s="22"/>
      <c r="K3" s="22"/>
      <c r="L3" s="22"/>
      <c r="M3" s="22"/>
      <c r="N3" s="22"/>
      <c r="O3" s="22"/>
      <c r="P3" s="22"/>
      <c r="Q3" s="22"/>
      <c r="R3" s="22"/>
      <c r="S3" s="22"/>
      <c r="T3" s="22"/>
      <c r="U3" s="19"/>
      <c r="V3" s="978" t="s">
        <v>83</v>
      </c>
      <c r="W3" s="978"/>
      <c r="X3" s="978"/>
      <c r="Y3" s="19"/>
      <c r="Z3" s="19"/>
      <c r="AA3" s="19"/>
      <c r="AB3" s="19"/>
      <c r="AC3" s="19"/>
      <c r="AD3" s="24"/>
      <c r="AE3" s="19"/>
    </row>
    <row r="4" spans="1:37" ht="15.75" x14ac:dyDescent="0.25">
      <c r="B4" s="979" t="s">
        <v>84</v>
      </c>
      <c r="C4" s="979"/>
      <c r="D4" s="979"/>
      <c r="E4" s="979"/>
      <c r="F4" s="979"/>
      <c r="G4" s="979"/>
      <c r="H4" s="979"/>
      <c r="I4" s="979"/>
      <c r="J4" s="979"/>
      <c r="K4" s="979"/>
      <c r="L4" s="979"/>
      <c r="M4" s="979"/>
      <c r="N4" s="979"/>
      <c r="O4" s="979"/>
      <c r="P4" s="979"/>
      <c r="Q4" s="979"/>
      <c r="R4" s="979"/>
      <c r="S4" s="25"/>
      <c r="T4" s="25"/>
      <c r="U4" s="21"/>
      <c r="V4" s="21"/>
      <c r="W4" s="21"/>
      <c r="X4" s="21"/>
      <c r="Y4" s="26"/>
      <c r="Z4" s="26"/>
      <c r="AA4" s="26"/>
      <c r="AB4" s="26"/>
      <c r="AC4" s="980"/>
      <c r="AD4" s="980"/>
      <c r="AE4" s="980"/>
    </row>
    <row r="5" spans="1:37" ht="15.75" x14ac:dyDescent="0.25">
      <c r="B5" s="981" t="s">
        <v>85</v>
      </c>
      <c r="C5" s="981"/>
      <c r="D5" s="981"/>
      <c r="E5" s="981"/>
      <c r="F5" s="981"/>
      <c r="G5" s="981"/>
      <c r="H5" s="981"/>
      <c r="I5" s="981"/>
      <c r="J5" s="981"/>
      <c r="K5" s="981"/>
      <c r="L5" s="981"/>
      <c r="M5" s="981"/>
      <c r="N5" s="981"/>
      <c r="O5" s="981"/>
      <c r="P5" s="981"/>
      <c r="Q5" s="981"/>
      <c r="R5" s="981"/>
      <c r="S5" s="27"/>
      <c r="T5" s="27"/>
      <c r="U5" s="982"/>
      <c r="V5" s="982"/>
      <c r="W5" s="982"/>
      <c r="X5" s="982"/>
      <c r="Y5" s="19"/>
      <c r="Z5" s="19"/>
      <c r="AA5" s="19"/>
      <c r="AB5" s="19"/>
      <c r="AC5" s="19"/>
      <c r="AD5" s="19"/>
      <c r="AE5" s="19"/>
    </row>
    <row r="6" spans="1:37" x14ac:dyDescent="0.25">
      <c r="B6" s="983"/>
      <c r="C6" s="983"/>
      <c r="D6" s="983"/>
      <c r="E6" s="983"/>
      <c r="F6" s="983"/>
      <c r="G6" s="983"/>
      <c r="H6" s="984"/>
      <c r="I6" s="984"/>
      <c r="J6" s="984"/>
      <c r="K6" s="28" t="s">
        <v>86</v>
      </c>
      <c r="L6" s="28"/>
      <c r="M6" s="28"/>
      <c r="N6" s="19"/>
      <c r="O6" s="19"/>
      <c r="P6" s="19"/>
      <c r="Q6" s="19"/>
      <c r="R6" s="19"/>
      <c r="S6" s="19"/>
      <c r="T6" s="19"/>
      <c r="U6" s="19"/>
      <c r="V6" s="19"/>
      <c r="W6" s="19"/>
      <c r="X6" s="19"/>
      <c r="Y6" s="19"/>
      <c r="Z6" s="19"/>
      <c r="AA6" s="19"/>
      <c r="AB6" s="19"/>
      <c r="AC6" s="19"/>
      <c r="AD6" s="19"/>
      <c r="AE6" s="19"/>
    </row>
    <row r="7" spans="1:37" x14ac:dyDescent="0.25">
      <c r="B7" s="985" t="s">
        <v>87</v>
      </c>
      <c r="C7" s="985"/>
      <c r="D7" s="985"/>
      <c r="E7" s="985"/>
      <c r="F7" s="985"/>
      <c r="G7" s="985"/>
      <c r="H7" s="984"/>
      <c r="I7" s="984"/>
      <c r="J7" s="984"/>
      <c r="K7" s="986" t="s">
        <v>88</v>
      </c>
      <c r="L7" s="986"/>
      <c r="M7" s="984"/>
      <c r="N7" s="29"/>
      <c r="O7" s="19"/>
      <c r="P7" s="19"/>
      <c r="Q7" s="19"/>
      <c r="R7" s="19"/>
      <c r="S7" s="19"/>
      <c r="T7" s="19"/>
      <c r="U7" s="19"/>
      <c r="V7" s="19"/>
      <c r="W7" s="19"/>
      <c r="X7" s="19"/>
      <c r="Y7" s="19"/>
      <c r="Z7" s="19"/>
      <c r="AA7" s="19"/>
      <c r="AB7" s="19"/>
      <c r="AC7" s="19"/>
      <c r="AD7" s="19"/>
      <c r="AE7" s="19"/>
    </row>
    <row r="8" spans="1:37" x14ac:dyDescent="0.25">
      <c r="B8" s="24"/>
      <c r="C8" s="24"/>
      <c r="D8" s="30"/>
      <c r="E8" s="30"/>
      <c r="F8" s="19"/>
      <c r="G8" s="19"/>
      <c r="H8" s="19"/>
      <c r="I8" s="19"/>
      <c r="J8" s="19"/>
      <c r="K8" s="19"/>
      <c r="L8" s="19"/>
      <c r="M8" s="19"/>
      <c r="N8" s="19"/>
      <c r="O8" s="19"/>
      <c r="P8" s="19"/>
      <c r="Q8" s="19"/>
      <c r="R8" s="19"/>
      <c r="S8" s="19"/>
      <c r="T8" s="19"/>
      <c r="U8" s="19"/>
      <c r="V8" s="19"/>
      <c r="W8" s="19"/>
      <c r="X8" s="19"/>
      <c r="Y8" s="19"/>
      <c r="Z8" s="19"/>
      <c r="AA8" s="19"/>
      <c r="AB8" s="19"/>
      <c r="AC8" s="19"/>
      <c r="AD8" s="19"/>
      <c r="AE8" s="19"/>
    </row>
    <row r="9" spans="1:37" ht="43.15" customHeight="1" x14ac:dyDescent="0.25">
      <c r="A9" s="995" t="s">
        <v>89</v>
      </c>
      <c r="B9" s="999"/>
      <c r="C9" s="996"/>
      <c r="D9" s="993" t="s">
        <v>90</v>
      </c>
      <c r="E9" s="993" t="s">
        <v>91</v>
      </c>
      <c r="F9" s="993" t="s">
        <v>92</v>
      </c>
      <c r="G9" s="993" t="s">
        <v>93</v>
      </c>
      <c r="H9" s="995" t="s">
        <v>94</v>
      </c>
      <c r="I9" s="999"/>
      <c r="J9" s="999"/>
      <c r="K9" s="996"/>
      <c r="L9" s="1000" t="s">
        <v>95</v>
      </c>
      <c r="M9" s="1000"/>
      <c r="N9" s="1000"/>
      <c r="O9" s="1000"/>
      <c r="P9" s="1000"/>
      <c r="Q9" s="1000"/>
      <c r="R9" s="1000"/>
      <c r="S9" s="1000"/>
      <c r="T9" s="1000"/>
      <c r="U9" s="989" t="s">
        <v>96</v>
      </c>
      <c r="V9" s="990"/>
      <c r="W9" s="1001" t="s">
        <v>97</v>
      </c>
      <c r="X9" s="1002"/>
      <c r="Y9" s="1005" t="s">
        <v>98</v>
      </c>
      <c r="Z9" s="993" t="s">
        <v>99</v>
      </c>
      <c r="AG9" s="1013" t="s">
        <v>100</v>
      </c>
      <c r="AH9" s="1013" t="s">
        <v>101</v>
      </c>
      <c r="AI9" s="1013" t="s">
        <v>102</v>
      </c>
      <c r="AJ9" s="987" t="s">
        <v>103</v>
      </c>
      <c r="AK9" s="987" t="s">
        <v>104</v>
      </c>
    </row>
    <row r="10" spans="1:37" ht="312.60000000000002" customHeight="1" x14ac:dyDescent="0.25">
      <c r="A10" s="989" t="s">
        <v>80</v>
      </c>
      <c r="B10" s="990"/>
      <c r="C10" s="993" t="s">
        <v>105</v>
      </c>
      <c r="D10" s="1008"/>
      <c r="E10" s="1008"/>
      <c r="F10" s="1008"/>
      <c r="G10" s="1008"/>
      <c r="H10" s="995" t="s">
        <v>106</v>
      </c>
      <c r="I10" s="996"/>
      <c r="J10" s="995" t="s">
        <v>107</v>
      </c>
      <c r="K10" s="996"/>
      <c r="L10" s="997" t="s">
        <v>108</v>
      </c>
      <c r="M10" s="998"/>
      <c r="N10" s="997" t="s">
        <v>109</v>
      </c>
      <c r="O10" s="998"/>
      <c r="P10" s="1009" t="s">
        <v>110</v>
      </c>
      <c r="Q10" s="1010"/>
      <c r="R10" s="31" t="s">
        <v>111</v>
      </c>
      <c r="S10" s="993" t="s">
        <v>103</v>
      </c>
      <c r="T10" s="32" t="s">
        <v>112</v>
      </c>
      <c r="U10" s="991"/>
      <c r="V10" s="992"/>
      <c r="W10" s="1003"/>
      <c r="X10" s="1004"/>
      <c r="Y10" s="1006"/>
      <c r="Z10" s="1008"/>
      <c r="AG10" s="1014"/>
      <c r="AH10" s="1014"/>
      <c r="AI10" s="1014"/>
      <c r="AJ10" s="988"/>
      <c r="AK10" s="988"/>
    </row>
    <row r="11" spans="1:37" ht="31.9" customHeight="1" x14ac:dyDescent="0.25">
      <c r="A11" s="991"/>
      <c r="B11" s="992"/>
      <c r="C11" s="994"/>
      <c r="D11" s="994"/>
      <c r="E11" s="994"/>
      <c r="F11" s="994"/>
      <c r="G11" s="994"/>
      <c r="H11" s="33" t="s">
        <v>113</v>
      </c>
      <c r="I11" s="33" t="s">
        <v>114</v>
      </c>
      <c r="J11" s="33" t="s">
        <v>113</v>
      </c>
      <c r="K11" s="33" t="s">
        <v>114</v>
      </c>
      <c r="L11" s="33" t="s">
        <v>113</v>
      </c>
      <c r="M11" s="33" t="s">
        <v>115</v>
      </c>
      <c r="N11" s="33" t="s">
        <v>113</v>
      </c>
      <c r="O11" s="33" t="s">
        <v>115</v>
      </c>
      <c r="P11" s="33" t="s">
        <v>113</v>
      </c>
      <c r="Q11" s="33" t="s">
        <v>115</v>
      </c>
      <c r="R11" s="31" t="s">
        <v>115</v>
      </c>
      <c r="S11" s="994"/>
      <c r="T11" s="34"/>
      <c r="U11" s="33" t="s">
        <v>113</v>
      </c>
      <c r="V11" s="33" t="s">
        <v>114</v>
      </c>
      <c r="W11" s="33" t="s">
        <v>113</v>
      </c>
      <c r="X11" s="33" t="s">
        <v>114</v>
      </c>
      <c r="Y11" s="1007"/>
      <c r="Z11" s="994"/>
      <c r="AG11" s="35"/>
      <c r="AH11" s="35"/>
      <c r="AI11" s="35"/>
      <c r="AJ11" s="36"/>
      <c r="AK11" s="36"/>
    </row>
    <row r="12" spans="1:37" s="43" customFormat="1" ht="27" customHeight="1" x14ac:dyDescent="0.25">
      <c r="A12" s="1000">
        <v>1</v>
      </c>
      <c r="B12" s="1000"/>
      <c r="C12" s="33">
        <v>2</v>
      </c>
      <c r="D12" s="33">
        <v>3</v>
      </c>
      <c r="E12" s="33">
        <v>4</v>
      </c>
      <c r="F12" s="33">
        <v>5</v>
      </c>
      <c r="G12" s="33">
        <v>6</v>
      </c>
      <c r="H12" s="33">
        <v>9</v>
      </c>
      <c r="I12" s="33">
        <v>10</v>
      </c>
      <c r="J12" s="33">
        <v>9</v>
      </c>
      <c r="K12" s="33">
        <v>10</v>
      </c>
      <c r="L12" s="37">
        <v>11</v>
      </c>
      <c r="M12" s="38">
        <v>12</v>
      </c>
      <c r="N12" s="37">
        <v>13</v>
      </c>
      <c r="O12" s="38">
        <v>14</v>
      </c>
      <c r="P12" s="39">
        <v>15</v>
      </c>
      <c r="Q12" s="40">
        <v>16</v>
      </c>
      <c r="R12" s="31">
        <v>17</v>
      </c>
      <c r="S12" s="40">
        <v>18</v>
      </c>
      <c r="T12" s="40">
        <v>19</v>
      </c>
      <c r="U12" s="40">
        <v>20</v>
      </c>
      <c r="V12" s="41">
        <v>21</v>
      </c>
      <c r="W12" s="33">
        <v>22</v>
      </c>
      <c r="X12" s="33">
        <v>23</v>
      </c>
      <c r="Y12" s="42">
        <v>24</v>
      </c>
      <c r="Z12" s="33">
        <v>25</v>
      </c>
      <c r="AG12" s="33">
        <v>14</v>
      </c>
      <c r="AH12" s="33">
        <v>15</v>
      </c>
      <c r="AI12" s="33"/>
      <c r="AJ12" s="33">
        <v>16</v>
      </c>
      <c r="AK12" s="33">
        <v>17</v>
      </c>
    </row>
    <row r="13" spans="1:37" ht="120" customHeight="1" x14ac:dyDescent="0.25">
      <c r="A13" s="44">
        <v>1</v>
      </c>
      <c r="B13" s="1015" t="s">
        <v>116</v>
      </c>
      <c r="C13" s="45" t="s">
        <v>117</v>
      </c>
      <c r="D13" s="46" t="s">
        <v>27</v>
      </c>
      <c r="E13" s="47">
        <v>1</v>
      </c>
      <c r="F13" s="48">
        <v>8073</v>
      </c>
      <c r="G13" s="49">
        <f>F13*E13</f>
        <v>8073</v>
      </c>
      <c r="H13" s="50"/>
      <c r="I13" s="49">
        <f t="shared" ref="I13:I26" si="0">G13*H13/100</f>
        <v>0</v>
      </c>
      <c r="J13" s="50">
        <v>25</v>
      </c>
      <c r="K13" s="49">
        <f t="shared" ref="K13:K28" si="1">G13*J13/100</f>
        <v>2018.25</v>
      </c>
      <c r="L13" s="50">
        <v>200</v>
      </c>
      <c r="M13" s="51"/>
      <c r="N13" s="50">
        <v>225</v>
      </c>
      <c r="O13" s="52"/>
      <c r="P13" s="52">
        <f>L13+N13</f>
        <v>425</v>
      </c>
      <c r="Q13" s="51"/>
      <c r="R13" s="53"/>
      <c r="S13" s="53"/>
      <c r="T13" s="52">
        <f>G13*P13/100</f>
        <v>34310.25</v>
      </c>
      <c r="U13" s="54">
        <v>50</v>
      </c>
      <c r="V13" s="55">
        <f>(G13+K13+T13+I13)*50%</f>
        <v>22200.75</v>
      </c>
      <c r="W13" s="50">
        <v>80</v>
      </c>
      <c r="X13" s="49">
        <f>(G13+K13+T13+I13)*80%</f>
        <v>35521.200000000004</v>
      </c>
      <c r="Y13" s="56">
        <f t="shared" ref="Y13:Y26" si="2">G13+K13+T13+V13+X13+I13</f>
        <v>102123.45000000001</v>
      </c>
      <c r="Z13" s="49">
        <f t="shared" ref="Z13:Z26" si="3">(Y13/E13)</f>
        <v>102123.45000000001</v>
      </c>
      <c r="AA13" s="94">
        <f>I13+K13</f>
        <v>2018.25</v>
      </c>
      <c r="AC13" s="94">
        <f>V13+X13</f>
        <v>57721.950000000004</v>
      </c>
      <c r="AG13" s="57">
        <f>G13+K13++O13++R13</f>
        <v>10091.25</v>
      </c>
      <c r="AH13" s="58">
        <v>1.1499999999999999</v>
      </c>
      <c r="AI13" s="28"/>
      <c r="AJ13" s="28">
        <f>G13*AH13</f>
        <v>9283.9499999999989</v>
      </c>
      <c r="AK13" s="28">
        <f>AJ13*2.3</f>
        <v>21353.084999999995</v>
      </c>
    </row>
    <row r="14" spans="1:37" ht="116.25" customHeight="1" x14ac:dyDescent="0.25">
      <c r="A14" s="44">
        <v>2</v>
      </c>
      <c r="B14" s="1016"/>
      <c r="C14" s="59" t="s">
        <v>117</v>
      </c>
      <c r="D14" s="60" t="s">
        <v>118</v>
      </c>
      <c r="E14" s="47">
        <v>1</v>
      </c>
      <c r="F14" s="48">
        <v>7266</v>
      </c>
      <c r="G14" s="49">
        <f t="shared" ref="G14:G28" si="4">F14*E14</f>
        <v>7266</v>
      </c>
      <c r="H14" s="61">
        <v>154</v>
      </c>
      <c r="I14" s="49">
        <f t="shared" si="0"/>
        <v>11189.64</v>
      </c>
      <c r="J14" s="50">
        <v>25</v>
      </c>
      <c r="K14" s="49">
        <f t="shared" si="1"/>
        <v>1816.5</v>
      </c>
      <c r="L14" s="49"/>
      <c r="M14" s="50">
        <v>150</v>
      </c>
      <c r="N14" s="50"/>
      <c r="O14" s="53">
        <v>200</v>
      </c>
      <c r="P14" s="53"/>
      <c r="Q14" s="50">
        <f>M14+O14</f>
        <v>350</v>
      </c>
      <c r="R14" s="53">
        <f t="shared" ref="R14:R26" si="5">Q14*E14</f>
        <v>350</v>
      </c>
      <c r="S14" s="49">
        <v>11</v>
      </c>
      <c r="T14" s="49">
        <f>R14*S14</f>
        <v>3850</v>
      </c>
      <c r="U14" s="54">
        <v>50</v>
      </c>
      <c r="V14" s="55">
        <f t="shared" ref="V14:V26" si="6">(G14+K14+T14+I14)*50%</f>
        <v>12061.07</v>
      </c>
      <c r="W14" s="50">
        <v>80</v>
      </c>
      <c r="X14" s="49">
        <f t="shared" ref="X14:X26" si="7">(G14+K14+T14+I14)*80%</f>
        <v>19297.712</v>
      </c>
      <c r="Y14" s="56">
        <f t="shared" si="2"/>
        <v>55480.921999999999</v>
      </c>
      <c r="Z14" s="49">
        <f t="shared" si="3"/>
        <v>55480.921999999999</v>
      </c>
      <c r="AA14" s="94">
        <f t="shared" ref="AA14:AA26" si="8">I14+K14</f>
        <v>13006.14</v>
      </c>
      <c r="AC14" s="94">
        <f t="shared" ref="AC14:AC26" si="9">V14+X14</f>
        <v>31358.781999999999</v>
      </c>
      <c r="AG14" s="57">
        <f>G14+K14++O14++R14</f>
        <v>9632.5</v>
      </c>
      <c r="AH14" s="28">
        <v>160</v>
      </c>
      <c r="AI14" s="28">
        <f>E14*AH14</f>
        <v>160</v>
      </c>
      <c r="AJ14" s="28">
        <v>0</v>
      </c>
      <c r="AK14" s="28">
        <f t="shared" ref="AK14:AK28" si="10">AI14*AJ14*2.3</f>
        <v>0</v>
      </c>
    </row>
    <row r="15" spans="1:37" ht="81" customHeight="1" x14ac:dyDescent="0.25">
      <c r="A15" s="44">
        <v>3</v>
      </c>
      <c r="B15" s="1017"/>
      <c r="C15" s="62" t="s">
        <v>119</v>
      </c>
      <c r="D15" s="60" t="s">
        <v>120</v>
      </c>
      <c r="E15" s="47">
        <v>3</v>
      </c>
      <c r="F15" s="48">
        <v>2882</v>
      </c>
      <c r="G15" s="49">
        <f>F15*E15</f>
        <v>8646</v>
      </c>
      <c r="H15" s="61">
        <v>215</v>
      </c>
      <c r="I15" s="49">
        <f t="shared" si="0"/>
        <v>18588.900000000001</v>
      </c>
      <c r="J15" s="50">
        <v>25</v>
      </c>
      <c r="K15" s="49">
        <f t="shared" si="1"/>
        <v>2161.5</v>
      </c>
      <c r="L15" s="49"/>
      <c r="M15" s="53">
        <v>100</v>
      </c>
      <c r="N15" s="53"/>
      <c r="O15" s="53">
        <v>200</v>
      </c>
      <c r="P15" s="53"/>
      <c r="Q15" s="50">
        <f>M15+O15</f>
        <v>300</v>
      </c>
      <c r="R15" s="53">
        <f t="shared" si="5"/>
        <v>900</v>
      </c>
      <c r="S15" s="49">
        <v>18</v>
      </c>
      <c r="T15" s="49">
        <f>R15*S15</f>
        <v>16200</v>
      </c>
      <c r="U15" s="54">
        <v>50</v>
      </c>
      <c r="V15" s="55">
        <f t="shared" si="6"/>
        <v>22798.2</v>
      </c>
      <c r="W15" s="50">
        <v>80</v>
      </c>
      <c r="X15" s="49">
        <f t="shared" si="7"/>
        <v>36477.120000000003</v>
      </c>
      <c r="Y15" s="56">
        <f t="shared" si="2"/>
        <v>104871.72</v>
      </c>
      <c r="Z15" s="49">
        <f t="shared" si="3"/>
        <v>34957.24</v>
      </c>
      <c r="AA15" s="94">
        <f t="shared" si="8"/>
        <v>20750.400000000001</v>
      </c>
      <c r="AC15" s="94">
        <f t="shared" si="9"/>
        <v>59275.320000000007</v>
      </c>
      <c r="AG15" s="57"/>
      <c r="AH15" s="28"/>
      <c r="AI15" s="28"/>
      <c r="AJ15" s="28"/>
      <c r="AK15" s="28"/>
    </row>
    <row r="16" spans="1:37" ht="73.5" customHeight="1" x14ac:dyDescent="0.25">
      <c r="A16" s="44">
        <v>4</v>
      </c>
      <c r="B16" s="1018" t="s">
        <v>121</v>
      </c>
      <c r="C16" s="63" t="s">
        <v>122</v>
      </c>
      <c r="D16" s="60" t="s">
        <v>123</v>
      </c>
      <c r="E16" s="47">
        <v>0.3</v>
      </c>
      <c r="F16" s="48">
        <v>5391</v>
      </c>
      <c r="G16" s="49">
        <f t="shared" si="4"/>
        <v>1617.3</v>
      </c>
      <c r="H16" s="61">
        <v>45</v>
      </c>
      <c r="I16" s="49">
        <f t="shared" si="0"/>
        <v>727.78499999999997</v>
      </c>
      <c r="J16" s="50">
        <v>25</v>
      </c>
      <c r="K16" s="49">
        <f t="shared" si="1"/>
        <v>404.32499999999999</v>
      </c>
      <c r="L16" s="49"/>
      <c r="M16" s="53">
        <v>150</v>
      </c>
      <c r="N16" s="53"/>
      <c r="O16" s="53">
        <v>250</v>
      </c>
      <c r="P16" s="53"/>
      <c r="Q16" s="50">
        <f t="shared" ref="Q16:Q26" si="11">M16+O16</f>
        <v>400</v>
      </c>
      <c r="R16" s="53">
        <f t="shared" si="5"/>
        <v>120</v>
      </c>
      <c r="S16" s="49">
        <v>18</v>
      </c>
      <c r="T16" s="49">
        <f>R16*S16</f>
        <v>2160</v>
      </c>
      <c r="U16" s="54">
        <v>50</v>
      </c>
      <c r="V16" s="55">
        <f t="shared" si="6"/>
        <v>2454.7049999999999</v>
      </c>
      <c r="W16" s="50">
        <v>80</v>
      </c>
      <c r="X16" s="49">
        <f t="shared" si="7"/>
        <v>3927.5280000000002</v>
      </c>
      <c r="Y16" s="56">
        <f t="shared" si="2"/>
        <v>11291.643</v>
      </c>
      <c r="Z16" s="49">
        <f t="shared" si="3"/>
        <v>37638.810000000005</v>
      </c>
      <c r="AA16" s="94">
        <f t="shared" si="8"/>
        <v>1132.1099999999999</v>
      </c>
      <c r="AC16" s="94">
        <f t="shared" si="9"/>
        <v>6382.2330000000002</v>
      </c>
      <c r="AG16" s="57">
        <f>G16+K16++O16++R16</f>
        <v>2391.625</v>
      </c>
      <c r="AH16" s="28">
        <v>160</v>
      </c>
      <c r="AI16" s="28">
        <f>E16*AH16</f>
        <v>48</v>
      </c>
      <c r="AJ16" s="28">
        <f>AJ14</f>
        <v>0</v>
      </c>
      <c r="AK16" s="28">
        <f t="shared" si="10"/>
        <v>0</v>
      </c>
    </row>
    <row r="17" spans="1:37" s="66" customFormat="1" ht="98.25" customHeight="1" x14ac:dyDescent="0.25">
      <c r="A17" s="64">
        <v>5</v>
      </c>
      <c r="B17" s="1018"/>
      <c r="C17" s="65" t="s">
        <v>124</v>
      </c>
      <c r="D17" s="60" t="s">
        <v>125</v>
      </c>
      <c r="E17" s="47">
        <v>1</v>
      </c>
      <c r="F17" s="48">
        <v>4620</v>
      </c>
      <c r="G17" s="49">
        <f t="shared" si="4"/>
        <v>4620</v>
      </c>
      <c r="H17" s="61">
        <v>45</v>
      </c>
      <c r="I17" s="49">
        <f t="shared" si="0"/>
        <v>2079</v>
      </c>
      <c r="J17" s="50">
        <v>25</v>
      </c>
      <c r="K17" s="49">
        <f t="shared" si="1"/>
        <v>1155</v>
      </c>
      <c r="L17" s="49"/>
      <c r="M17" s="53">
        <v>150</v>
      </c>
      <c r="N17" s="53"/>
      <c r="O17" s="53">
        <v>250</v>
      </c>
      <c r="P17" s="53"/>
      <c r="Q17" s="50">
        <f t="shared" si="11"/>
        <v>400</v>
      </c>
      <c r="R17" s="53">
        <f t="shared" si="5"/>
        <v>400</v>
      </c>
      <c r="S17" s="49">
        <v>18</v>
      </c>
      <c r="T17" s="49">
        <f>R17*S17</f>
        <v>7200</v>
      </c>
      <c r="U17" s="54">
        <v>50</v>
      </c>
      <c r="V17" s="55">
        <f t="shared" si="6"/>
        <v>7527</v>
      </c>
      <c r="W17" s="50">
        <v>80</v>
      </c>
      <c r="X17" s="49">
        <f t="shared" si="7"/>
        <v>12043.2</v>
      </c>
      <c r="Y17" s="56">
        <f t="shared" si="2"/>
        <v>34624.199999999997</v>
      </c>
      <c r="Z17" s="49">
        <f t="shared" si="3"/>
        <v>34624.199999999997</v>
      </c>
      <c r="AA17" s="94">
        <f t="shared" si="8"/>
        <v>3234</v>
      </c>
      <c r="AC17" s="94">
        <f t="shared" si="9"/>
        <v>19570.2</v>
      </c>
      <c r="AG17" s="67">
        <f>G17+K17++O17++R17</f>
        <v>6425</v>
      </c>
      <c r="AH17" s="64">
        <v>160</v>
      </c>
      <c r="AI17" s="64">
        <f>E17*AH17</f>
        <v>160</v>
      </c>
      <c r="AJ17" s="64">
        <f>AJ16</f>
        <v>0</v>
      </c>
      <c r="AK17" s="64">
        <f t="shared" si="10"/>
        <v>0</v>
      </c>
    </row>
    <row r="18" spans="1:37" s="66" customFormat="1" ht="96.75" customHeight="1" x14ac:dyDescent="0.25">
      <c r="A18" s="64">
        <v>6</v>
      </c>
      <c r="B18" s="1018"/>
      <c r="C18" s="65" t="s">
        <v>126</v>
      </c>
      <c r="D18" s="60" t="s">
        <v>127</v>
      </c>
      <c r="E18" s="47">
        <v>2</v>
      </c>
      <c r="F18" s="48">
        <v>3772</v>
      </c>
      <c r="G18" s="49">
        <f t="shared" si="4"/>
        <v>7544</v>
      </c>
      <c r="H18" s="61">
        <v>45</v>
      </c>
      <c r="I18" s="49">
        <f t="shared" si="0"/>
        <v>3394.8</v>
      </c>
      <c r="J18" s="50">
        <v>25</v>
      </c>
      <c r="K18" s="49">
        <f t="shared" si="1"/>
        <v>1886</v>
      </c>
      <c r="L18" s="49"/>
      <c r="M18" s="53">
        <v>100</v>
      </c>
      <c r="N18" s="53"/>
      <c r="O18" s="53">
        <v>250</v>
      </c>
      <c r="P18" s="53"/>
      <c r="Q18" s="50">
        <f t="shared" si="11"/>
        <v>350</v>
      </c>
      <c r="R18" s="53">
        <f t="shared" si="5"/>
        <v>700</v>
      </c>
      <c r="S18" s="49">
        <v>18</v>
      </c>
      <c r="T18" s="49">
        <f>R18*S18</f>
        <v>12600</v>
      </c>
      <c r="U18" s="54">
        <v>50</v>
      </c>
      <c r="V18" s="55">
        <f t="shared" si="6"/>
        <v>12712.4</v>
      </c>
      <c r="W18" s="50">
        <v>80</v>
      </c>
      <c r="X18" s="49">
        <f t="shared" si="7"/>
        <v>20339.84</v>
      </c>
      <c r="Y18" s="56">
        <f t="shared" si="2"/>
        <v>58477.040000000008</v>
      </c>
      <c r="Z18" s="49">
        <f t="shared" si="3"/>
        <v>29238.520000000004</v>
      </c>
      <c r="AA18" s="94">
        <f t="shared" si="8"/>
        <v>5280.8</v>
      </c>
      <c r="AC18" s="94">
        <f t="shared" si="9"/>
        <v>33052.239999999998</v>
      </c>
      <c r="AG18" s="67"/>
      <c r="AH18" s="68"/>
      <c r="AI18" s="64"/>
      <c r="AJ18" s="67"/>
      <c r="AK18" s="64"/>
    </row>
    <row r="19" spans="1:37" ht="59.25" customHeight="1" x14ac:dyDescent="0.25">
      <c r="A19" s="64">
        <v>7</v>
      </c>
      <c r="B19" s="1018"/>
      <c r="C19" s="15" t="s">
        <v>128</v>
      </c>
      <c r="D19" s="60" t="s">
        <v>129</v>
      </c>
      <c r="E19" s="47">
        <v>3</v>
      </c>
      <c r="F19" s="48">
        <v>3842</v>
      </c>
      <c r="G19" s="49">
        <f t="shared" si="4"/>
        <v>11526</v>
      </c>
      <c r="H19" s="61">
        <v>70</v>
      </c>
      <c r="I19" s="49">
        <f t="shared" si="0"/>
        <v>8068.2</v>
      </c>
      <c r="J19" s="50">
        <v>25</v>
      </c>
      <c r="K19" s="49">
        <f t="shared" si="1"/>
        <v>2881.5</v>
      </c>
      <c r="L19" s="49"/>
      <c r="M19" s="53">
        <v>150</v>
      </c>
      <c r="N19" s="53"/>
      <c r="O19" s="53">
        <v>250</v>
      </c>
      <c r="P19" s="53"/>
      <c r="Q19" s="50">
        <f t="shared" si="11"/>
        <v>400</v>
      </c>
      <c r="R19" s="53">
        <f t="shared" si="5"/>
        <v>1200</v>
      </c>
      <c r="S19" s="49">
        <v>20</v>
      </c>
      <c r="T19" s="49">
        <f t="shared" ref="T19:T26" si="12">R19*S19</f>
        <v>24000</v>
      </c>
      <c r="U19" s="54">
        <v>50</v>
      </c>
      <c r="V19" s="55">
        <f t="shared" si="6"/>
        <v>23237.85</v>
      </c>
      <c r="W19" s="50">
        <v>80</v>
      </c>
      <c r="X19" s="49">
        <f t="shared" si="7"/>
        <v>37180.559999999998</v>
      </c>
      <c r="Y19" s="56">
        <f t="shared" si="2"/>
        <v>106894.11</v>
      </c>
      <c r="Z19" s="49">
        <f t="shared" si="3"/>
        <v>35631.370000000003</v>
      </c>
      <c r="AA19" s="94">
        <f t="shared" si="8"/>
        <v>10949.7</v>
      </c>
      <c r="AC19" s="94">
        <f t="shared" si="9"/>
        <v>60418.409999999996</v>
      </c>
      <c r="AG19" s="57">
        <f>INT(G19+K19++O19++R19)</f>
        <v>15857</v>
      </c>
      <c r="AH19" s="28">
        <v>100</v>
      </c>
      <c r="AI19" s="28">
        <f>E19*AH19</f>
        <v>300</v>
      </c>
      <c r="AJ19" s="28">
        <v>95</v>
      </c>
      <c r="AK19" s="28">
        <f t="shared" si="10"/>
        <v>65550</v>
      </c>
    </row>
    <row r="20" spans="1:37" ht="50.25" customHeight="1" x14ac:dyDescent="0.25">
      <c r="A20" s="64">
        <v>8</v>
      </c>
      <c r="B20" s="1019" t="s">
        <v>130</v>
      </c>
      <c r="C20" s="62" t="s">
        <v>131</v>
      </c>
      <c r="D20" s="60" t="s">
        <v>132</v>
      </c>
      <c r="E20" s="47">
        <v>1</v>
      </c>
      <c r="F20" s="48">
        <v>3480</v>
      </c>
      <c r="G20" s="49">
        <f t="shared" si="4"/>
        <v>3480</v>
      </c>
      <c r="H20" s="61">
        <v>300</v>
      </c>
      <c r="I20" s="49">
        <f t="shared" si="0"/>
        <v>10440</v>
      </c>
      <c r="J20" s="50">
        <v>25</v>
      </c>
      <c r="K20" s="49">
        <f t="shared" si="1"/>
        <v>870</v>
      </c>
      <c r="L20" s="49"/>
      <c r="M20" s="53">
        <v>150</v>
      </c>
      <c r="N20" s="53"/>
      <c r="O20" s="53">
        <v>450</v>
      </c>
      <c r="P20" s="53"/>
      <c r="Q20" s="50">
        <f t="shared" si="11"/>
        <v>600</v>
      </c>
      <c r="R20" s="53">
        <f t="shared" si="5"/>
        <v>600</v>
      </c>
      <c r="S20" s="49">
        <v>16.5</v>
      </c>
      <c r="T20" s="49">
        <f t="shared" si="12"/>
        <v>9900</v>
      </c>
      <c r="U20" s="54">
        <v>50</v>
      </c>
      <c r="V20" s="55">
        <f t="shared" si="6"/>
        <v>12345</v>
      </c>
      <c r="W20" s="50">
        <v>80</v>
      </c>
      <c r="X20" s="49">
        <f t="shared" si="7"/>
        <v>19752</v>
      </c>
      <c r="Y20" s="56">
        <f t="shared" si="2"/>
        <v>56787</v>
      </c>
      <c r="Z20" s="49">
        <f t="shared" si="3"/>
        <v>56787</v>
      </c>
      <c r="AA20" s="94">
        <f t="shared" si="8"/>
        <v>11310</v>
      </c>
      <c r="AC20" s="94">
        <f t="shared" si="9"/>
        <v>32097</v>
      </c>
      <c r="AG20" s="57">
        <f>INT(G20+K20++O20++R20)</f>
        <v>5400</v>
      </c>
      <c r="AH20" s="28">
        <v>100</v>
      </c>
      <c r="AI20" s="28">
        <f>E20*AH20</f>
        <v>100</v>
      </c>
      <c r="AJ20" s="28">
        <f>AJ19</f>
        <v>95</v>
      </c>
      <c r="AK20" s="28">
        <f t="shared" si="10"/>
        <v>21850</v>
      </c>
    </row>
    <row r="21" spans="1:37" ht="96" customHeight="1" x14ac:dyDescent="0.25">
      <c r="A21" s="64">
        <v>9</v>
      </c>
      <c r="B21" s="1019"/>
      <c r="C21" s="69" t="s">
        <v>133</v>
      </c>
      <c r="D21" s="60" t="s">
        <v>134</v>
      </c>
      <c r="E21" s="47">
        <v>0.5</v>
      </c>
      <c r="F21" s="48">
        <v>3167</v>
      </c>
      <c r="G21" s="49">
        <f t="shared" si="4"/>
        <v>1583.5</v>
      </c>
      <c r="H21" s="61">
        <v>185</v>
      </c>
      <c r="I21" s="49">
        <f t="shared" si="0"/>
        <v>2929.4749999999999</v>
      </c>
      <c r="J21" s="50">
        <v>0</v>
      </c>
      <c r="K21" s="49">
        <f t="shared" si="1"/>
        <v>0</v>
      </c>
      <c r="L21" s="49"/>
      <c r="M21" s="53">
        <v>100</v>
      </c>
      <c r="N21" s="53"/>
      <c r="O21" s="53">
        <v>200</v>
      </c>
      <c r="P21" s="53"/>
      <c r="Q21" s="50">
        <f t="shared" si="11"/>
        <v>300</v>
      </c>
      <c r="R21" s="53">
        <f t="shared" si="5"/>
        <v>150</v>
      </c>
      <c r="S21" s="49">
        <v>20</v>
      </c>
      <c r="T21" s="49">
        <f t="shared" si="12"/>
        <v>3000</v>
      </c>
      <c r="U21" s="54">
        <v>50</v>
      </c>
      <c r="V21" s="55">
        <f t="shared" si="6"/>
        <v>3756.4875000000002</v>
      </c>
      <c r="W21" s="50">
        <v>80</v>
      </c>
      <c r="X21" s="49">
        <f t="shared" si="7"/>
        <v>6010.380000000001</v>
      </c>
      <c r="Y21" s="56">
        <f t="shared" si="2"/>
        <v>17279.842499999999</v>
      </c>
      <c r="Z21" s="49">
        <f t="shared" si="3"/>
        <v>34559.684999999998</v>
      </c>
      <c r="AA21" s="94">
        <f t="shared" si="8"/>
        <v>2929.4749999999999</v>
      </c>
      <c r="AC21" s="94">
        <f t="shared" si="9"/>
        <v>9766.8675000000003</v>
      </c>
      <c r="AG21" s="57">
        <f>INT(G21+K21++O21++R21)</f>
        <v>1933</v>
      </c>
      <c r="AH21" s="28">
        <v>100</v>
      </c>
      <c r="AI21" s="28">
        <f>E21*AH21</f>
        <v>50</v>
      </c>
      <c r="AJ21" s="28" t="e">
        <f>#REF!</f>
        <v>#REF!</v>
      </c>
      <c r="AK21" s="28" t="e">
        <f t="shared" si="10"/>
        <v>#REF!</v>
      </c>
    </row>
    <row r="22" spans="1:37" ht="106.5" customHeight="1" x14ac:dyDescent="0.25">
      <c r="A22" s="64">
        <v>10</v>
      </c>
      <c r="B22" s="1020"/>
      <c r="C22" s="69" t="s">
        <v>133</v>
      </c>
      <c r="D22" s="60" t="s">
        <v>135</v>
      </c>
      <c r="E22" s="47">
        <v>4</v>
      </c>
      <c r="F22" s="48">
        <v>3167</v>
      </c>
      <c r="G22" s="49">
        <f t="shared" si="4"/>
        <v>12668</v>
      </c>
      <c r="H22" s="61">
        <v>106</v>
      </c>
      <c r="I22" s="49">
        <f t="shared" si="0"/>
        <v>13428.08</v>
      </c>
      <c r="J22" s="50">
        <v>0</v>
      </c>
      <c r="K22" s="49">
        <f t="shared" si="1"/>
        <v>0</v>
      </c>
      <c r="L22" s="49"/>
      <c r="M22" s="53">
        <v>100</v>
      </c>
      <c r="N22" s="53"/>
      <c r="O22" s="53">
        <v>200</v>
      </c>
      <c r="P22" s="53"/>
      <c r="Q22" s="50">
        <f t="shared" si="11"/>
        <v>300</v>
      </c>
      <c r="R22" s="53">
        <f t="shared" si="5"/>
        <v>1200</v>
      </c>
      <c r="S22" s="49">
        <v>20</v>
      </c>
      <c r="T22" s="49">
        <f t="shared" si="12"/>
        <v>24000</v>
      </c>
      <c r="U22" s="54">
        <v>50</v>
      </c>
      <c r="V22" s="55">
        <f t="shared" si="6"/>
        <v>25048.04</v>
      </c>
      <c r="W22" s="50">
        <v>80</v>
      </c>
      <c r="X22" s="49">
        <f t="shared" si="7"/>
        <v>40076.864000000001</v>
      </c>
      <c r="Y22" s="56">
        <f t="shared" si="2"/>
        <v>115220.98400000001</v>
      </c>
      <c r="Z22" s="49">
        <f t="shared" si="3"/>
        <v>28805.246000000003</v>
      </c>
      <c r="AA22" s="94">
        <f t="shared" si="8"/>
        <v>13428.08</v>
      </c>
      <c r="AC22" s="94">
        <f t="shared" si="9"/>
        <v>65124.904000000002</v>
      </c>
      <c r="AG22" s="57"/>
      <c r="AH22" s="28"/>
      <c r="AI22" s="28"/>
      <c r="AJ22" s="28"/>
      <c r="AK22" s="28"/>
    </row>
    <row r="23" spans="1:37" ht="82.9" customHeight="1" x14ac:dyDescent="0.25">
      <c r="A23" s="64">
        <v>11</v>
      </c>
      <c r="B23" s="1021" t="s">
        <v>136</v>
      </c>
      <c r="C23" s="69" t="s">
        <v>133</v>
      </c>
      <c r="D23" s="60" t="s">
        <v>137</v>
      </c>
      <c r="E23" s="47">
        <v>1</v>
      </c>
      <c r="F23" s="48">
        <v>2231</v>
      </c>
      <c r="G23" s="49">
        <f t="shared" si="4"/>
        <v>2231</v>
      </c>
      <c r="H23" s="61">
        <v>98</v>
      </c>
      <c r="I23" s="49">
        <f t="shared" si="0"/>
        <v>2186.38</v>
      </c>
      <c r="J23" s="50">
        <v>0</v>
      </c>
      <c r="K23" s="49">
        <f t="shared" si="1"/>
        <v>0</v>
      </c>
      <c r="L23" s="49"/>
      <c r="M23" s="53">
        <v>110</v>
      </c>
      <c r="N23" s="53"/>
      <c r="O23" s="53">
        <v>170</v>
      </c>
      <c r="P23" s="53"/>
      <c r="Q23" s="50">
        <f t="shared" si="11"/>
        <v>280</v>
      </c>
      <c r="R23" s="53">
        <f t="shared" si="5"/>
        <v>280</v>
      </c>
      <c r="S23" s="49">
        <v>20</v>
      </c>
      <c r="T23" s="49">
        <f t="shared" si="12"/>
        <v>5600</v>
      </c>
      <c r="U23" s="54">
        <v>50</v>
      </c>
      <c r="V23" s="55">
        <f t="shared" si="6"/>
        <v>5008.6900000000005</v>
      </c>
      <c r="W23" s="50">
        <v>80</v>
      </c>
      <c r="X23" s="49">
        <f t="shared" si="7"/>
        <v>8013.9040000000014</v>
      </c>
      <c r="Y23" s="56">
        <f t="shared" si="2"/>
        <v>23039.974000000002</v>
      </c>
      <c r="Z23" s="49">
        <f t="shared" si="3"/>
        <v>23039.974000000002</v>
      </c>
      <c r="AA23" s="94">
        <f t="shared" si="8"/>
        <v>2186.38</v>
      </c>
      <c r="AC23" s="94">
        <f t="shared" si="9"/>
        <v>13022.594000000001</v>
      </c>
      <c r="AG23" s="57"/>
      <c r="AH23" s="28"/>
      <c r="AI23" s="28"/>
      <c r="AJ23" s="28"/>
      <c r="AK23" s="28"/>
    </row>
    <row r="24" spans="1:37" s="75" customFormat="1" ht="67.5" customHeight="1" x14ac:dyDescent="0.25">
      <c r="A24" s="70">
        <v>12</v>
      </c>
      <c r="B24" s="1019"/>
      <c r="C24" s="71" t="s">
        <v>138</v>
      </c>
      <c r="D24" s="60" t="s">
        <v>139</v>
      </c>
      <c r="E24" s="47">
        <v>3</v>
      </c>
      <c r="F24" s="48">
        <v>2231</v>
      </c>
      <c r="G24" s="72">
        <f>F24*E24</f>
        <v>6693</v>
      </c>
      <c r="H24" s="61">
        <v>80</v>
      </c>
      <c r="I24" s="49">
        <f t="shared" si="0"/>
        <v>5354.4</v>
      </c>
      <c r="J24" s="73">
        <v>0</v>
      </c>
      <c r="K24" s="49">
        <f t="shared" si="1"/>
        <v>0</v>
      </c>
      <c r="L24" s="72"/>
      <c r="M24" s="74">
        <v>100</v>
      </c>
      <c r="N24" s="74"/>
      <c r="O24" s="74">
        <v>200</v>
      </c>
      <c r="P24" s="74"/>
      <c r="Q24" s="73">
        <f t="shared" si="11"/>
        <v>300</v>
      </c>
      <c r="R24" s="74">
        <f t="shared" si="5"/>
        <v>900</v>
      </c>
      <c r="S24" s="72">
        <v>20</v>
      </c>
      <c r="T24" s="72">
        <f t="shared" si="12"/>
        <v>18000</v>
      </c>
      <c r="U24" s="54">
        <v>50</v>
      </c>
      <c r="V24" s="55">
        <f t="shared" si="6"/>
        <v>15023.7</v>
      </c>
      <c r="W24" s="50">
        <v>80</v>
      </c>
      <c r="X24" s="49">
        <f t="shared" si="7"/>
        <v>24037.920000000002</v>
      </c>
      <c r="Y24" s="56">
        <f t="shared" si="2"/>
        <v>69109.01999999999</v>
      </c>
      <c r="Z24" s="49">
        <f t="shared" si="3"/>
        <v>23036.339999999997</v>
      </c>
      <c r="AA24" s="94">
        <f t="shared" si="8"/>
        <v>5354.4</v>
      </c>
      <c r="AB24" s="18"/>
      <c r="AC24" s="94">
        <f t="shared" si="9"/>
        <v>39061.620000000003</v>
      </c>
      <c r="AG24" s="76"/>
      <c r="AH24" s="77"/>
      <c r="AI24" s="77"/>
      <c r="AJ24" s="77"/>
      <c r="AK24" s="77"/>
    </row>
    <row r="25" spans="1:37" s="75" customFormat="1" ht="55.5" customHeight="1" x14ac:dyDescent="0.25">
      <c r="A25" s="70">
        <v>13</v>
      </c>
      <c r="B25" s="1019"/>
      <c r="C25" s="71" t="s">
        <v>138</v>
      </c>
      <c r="D25" s="60" t="s">
        <v>28</v>
      </c>
      <c r="E25" s="47">
        <v>6</v>
      </c>
      <c r="F25" s="48">
        <v>2231</v>
      </c>
      <c r="G25" s="72">
        <f t="shared" si="4"/>
        <v>13386</v>
      </c>
      <c r="H25" s="61">
        <v>80</v>
      </c>
      <c r="I25" s="49">
        <f t="shared" si="0"/>
        <v>10708.8</v>
      </c>
      <c r="J25" s="73">
        <v>0</v>
      </c>
      <c r="K25" s="49">
        <f t="shared" si="1"/>
        <v>0</v>
      </c>
      <c r="L25" s="72"/>
      <c r="M25" s="74">
        <v>100</v>
      </c>
      <c r="N25" s="74"/>
      <c r="O25" s="74">
        <v>200</v>
      </c>
      <c r="P25" s="74"/>
      <c r="Q25" s="73">
        <f t="shared" si="11"/>
        <v>300</v>
      </c>
      <c r="R25" s="74">
        <f t="shared" si="5"/>
        <v>1800</v>
      </c>
      <c r="S25" s="72">
        <v>20</v>
      </c>
      <c r="T25" s="72">
        <f t="shared" si="12"/>
        <v>36000</v>
      </c>
      <c r="U25" s="54">
        <v>50</v>
      </c>
      <c r="V25" s="55">
        <f t="shared" si="6"/>
        <v>30047.4</v>
      </c>
      <c r="W25" s="50">
        <v>80</v>
      </c>
      <c r="X25" s="49">
        <f t="shared" si="7"/>
        <v>48075.840000000004</v>
      </c>
      <c r="Y25" s="56">
        <f t="shared" si="2"/>
        <v>138218.03999999998</v>
      </c>
      <c r="Z25" s="49">
        <f t="shared" si="3"/>
        <v>23036.339999999997</v>
      </c>
      <c r="AA25" s="94">
        <f t="shared" si="8"/>
        <v>10708.8</v>
      </c>
      <c r="AB25" s="18"/>
      <c r="AC25" s="94">
        <f t="shared" si="9"/>
        <v>78123.240000000005</v>
      </c>
      <c r="AG25" s="76">
        <f>INT(G25+K25++O25++R25)</f>
        <v>15386</v>
      </c>
      <c r="AH25" s="77">
        <v>100</v>
      </c>
      <c r="AI25" s="77">
        <f>E25*AH25</f>
        <v>600</v>
      </c>
      <c r="AJ25" s="77" t="e">
        <f>AJ21</f>
        <v>#REF!</v>
      </c>
      <c r="AK25" s="77" t="e">
        <f t="shared" si="10"/>
        <v>#REF!</v>
      </c>
    </row>
    <row r="26" spans="1:37" s="75" customFormat="1" ht="64.5" customHeight="1" x14ac:dyDescent="0.25">
      <c r="A26" s="70">
        <v>14</v>
      </c>
      <c r="B26" s="1019"/>
      <c r="C26" s="71" t="s">
        <v>138</v>
      </c>
      <c r="D26" s="60" t="s">
        <v>140</v>
      </c>
      <c r="E26" s="47">
        <v>1</v>
      </c>
      <c r="F26" s="48">
        <v>2231</v>
      </c>
      <c r="G26" s="72">
        <f t="shared" si="4"/>
        <v>2231</v>
      </c>
      <c r="H26" s="61">
        <v>80</v>
      </c>
      <c r="I26" s="49">
        <f t="shared" si="0"/>
        <v>1784.8</v>
      </c>
      <c r="J26" s="73">
        <v>0</v>
      </c>
      <c r="K26" s="49">
        <f t="shared" si="1"/>
        <v>0</v>
      </c>
      <c r="L26" s="72"/>
      <c r="M26" s="74">
        <v>100</v>
      </c>
      <c r="N26" s="74"/>
      <c r="O26" s="74">
        <v>200</v>
      </c>
      <c r="P26" s="74"/>
      <c r="Q26" s="73">
        <f t="shared" si="11"/>
        <v>300</v>
      </c>
      <c r="R26" s="74">
        <f t="shared" si="5"/>
        <v>300</v>
      </c>
      <c r="S26" s="72">
        <v>20</v>
      </c>
      <c r="T26" s="72">
        <f t="shared" si="12"/>
        <v>6000</v>
      </c>
      <c r="U26" s="54">
        <v>50</v>
      </c>
      <c r="V26" s="55">
        <f t="shared" si="6"/>
        <v>5007.8999999999996</v>
      </c>
      <c r="W26" s="50">
        <v>80</v>
      </c>
      <c r="X26" s="49">
        <f t="shared" si="7"/>
        <v>8012.6399999999994</v>
      </c>
      <c r="Y26" s="56">
        <f t="shared" si="2"/>
        <v>23036.34</v>
      </c>
      <c r="Z26" s="49">
        <f t="shared" si="3"/>
        <v>23036.34</v>
      </c>
      <c r="AA26" s="94">
        <f t="shared" si="8"/>
        <v>1784.8</v>
      </c>
      <c r="AB26" s="18"/>
      <c r="AC26" s="94">
        <f t="shared" si="9"/>
        <v>13020.539999999999</v>
      </c>
      <c r="AF26" s="75">
        <v>28700</v>
      </c>
      <c r="AG26" s="76">
        <f>INT(G26+K26++O26++R26)</f>
        <v>2731</v>
      </c>
      <c r="AH26" s="77">
        <v>100</v>
      </c>
      <c r="AI26" s="77">
        <f>E26*AH26</f>
        <v>100</v>
      </c>
      <c r="AJ26" s="77" t="e">
        <f>AJ25</f>
        <v>#REF!</v>
      </c>
      <c r="AK26" s="77" t="e">
        <f t="shared" si="10"/>
        <v>#REF!</v>
      </c>
    </row>
    <row r="27" spans="1:37" ht="1.5" hidden="1" customHeight="1" x14ac:dyDescent="0.25">
      <c r="A27" s="78">
        <v>14</v>
      </c>
      <c r="B27" s="79"/>
      <c r="C27" s="71" t="s">
        <v>141</v>
      </c>
      <c r="D27" s="80" t="s">
        <v>142</v>
      </c>
      <c r="E27" s="47"/>
      <c r="F27" s="48"/>
      <c r="G27" s="49">
        <f>F27*E27</f>
        <v>0</v>
      </c>
      <c r="H27" s="61">
        <v>80</v>
      </c>
      <c r="I27" s="49">
        <f>G27*H24/100</f>
        <v>0</v>
      </c>
      <c r="J27" s="50">
        <v>0</v>
      </c>
      <c r="K27" s="49">
        <f t="shared" si="1"/>
        <v>0</v>
      </c>
      <c r="L27" s="49"/>
      <c r="M27" s="53"/>
      <c r="N27" s="53"/>
      <c r="O27" s="53"/>
      <c r="P27" s="53"/>
      <c r="Q27" s="50"/>
      <c r="R27" s="53"/>
      <c r="S27" s="49"/>
      <c r="T27" s="49"/>
      <c r="U27" s="54"/>
      <c r="V27" s="55"/>
      <c r="W27" s="50"/>
      <c r="X27" s="49"/>
      <c r="Y27" s="56"/>
      <c r="Z27" s="49"/>
      <c r="AF27" s="18">
        <v>24000</v>
      </c>
      <c r="AG27" s="57">
        <f>INT(G27+K27++O27++R27)</f>
        <v>0</v>
      </c>
      <c r="AH27" s="28">
        <v>100</v>
      </c>
      <c r="AI27" s="28">
        <f>E27*AH27</f>
        <v>0</v>
      </c>
      <c r="AJ27" s="28" t="e">
        <f>AJ26</f>
        <v>#REF!</v>
      </c>
      <c r="AK27" s="28" t="e">
        <f t="shared" si="10"/>
        <v>#REF!</v>
      </c>
    </row>
    <row r="28" spans="1:37" s="75" customFormat="1" ht="16.5" hidden="1" customHeight="1" x14ac:dyDescent="0.25">
      <c r="A28" s="70">
        <v>15</v>
      </c>
      <c r="B28" s="81"/>
      <c r="C28" s="71" t="s">
        <v>141</v>
      </c>
      <c r="D28" s="80" t="s">
        <v>142</v>
      </c>
      <c r="E28" s="47">
        <v>0</v>
      </c>
      <c r="F28" s="48">
        <v>0</v>
      </c>
      <c r="G28" s="72">
        <f t="shared" si="4"/>
        <v>0</v>
      </c>
      <c r="I28" s="49">
        <f>G28*H25/100</f>
        <v>0</v>
      </c>
      <c r="J28" s="73">
        <v>0</v>
      </c>
      <c r="K28" s="49">
        <f t="shared" si="1"/>
        <v>0</v>
      </c>
      <c r="L28" s="72"/>
      <c r="M28" s="74"/>
      <c r="N28" s="74"/>
      <c r="O28" s="74"/>
      <c r="P28" s="74"/>
      <c r="Q28" s="73"/>
      <c r="R28" s="74"/>
      <c r="S28" s="72"/>
      <c r="T28" s="72"/>
      <c r="U28" s="54"/>
      <c r="V28" s="55"/>
      <c r="W28" s="50"/>
      <c r="X28" s="49"/>
      <c r="Y28" s="56"/>
      <c r="Z28" s="49"/>
      <c r="AF28" s="75">
        <v>23100</v>
      </c>
      <c r="AG28" s="76">
        <f>INT(G28+K28++O28++R28)</f>
        <v>0</v>
      </c>
      <c r="AH28" s="77">
        <v>100</v>
      </c>
      <c r="AI28" s="77">
        <f>E28*AH28</f>
        <v>0</v>
      </c>
      <c r="AJ28" s="77" t="e">
        <f>AJ27</f>
        <v>#REF!</v>
      </c>
      <c r="AK28" s="77" t="e">
        <f t="shared" si="10"/>
        <v>#REF!</v>
      </c>
    </row>
    <row r="29" spans="1:37" x14ac:dyDescent="0.25">
      <c r="A29" s="28"/>
      <c r="B29" s="28"/>
      <c r="C29" s="1011" t="s">
        <v>32</v>
      </c>
      <c r="D29" s="1012"/>
      <c r="E29" s="74">
        <f>SUM(E13:E26)</f>
        <v>27.8</v>
      </c>
      <c r="F29" s="72"/>
      <c r="G29" s="82">
        <f>SUM(G13:G28)</f>
        <v>91564.800000000003</v>
      </c>
      <c r="H29" s="28"/>
      <c r="I29" s="82">
        <f>SUM(I13:I28)</f>
        <v>90880.26</v>
      </c>
      <c r="J29" s="82"/>
      <c r="K29" s="82">
        <f>SUM(K13:K28)</f>
        <v>13193.075000000001</v>
      </c>
      <c r="L29" s="82"/>
      <c r="M29" s="82"/>
      <c r="N29" s="82"/>
      <c r="O29" s="82"/>
      <c r="P29" s="82"/>
      <c r="Q29" s="82"/>
      <c r="R29" s="82">
        <f>SUM(R13:R28)</f>
        <v>8900</v>
      </c>
      <c r="S29" s="82"/>
      <c r="T29" s="82">
        <f>SUM(T13:T28)</f>
        <v>202820.25</v>
      </c>
      <c r="U29" s="82"/>
      <c r="V29" s="82">
        <f>SUM(V13:V28)</f>
        <v>199229.1925</v>
      </c>
      <c r="W29" s="82"/>
      <c r="X29" s="82">
        <f>SUM(X13:X28)</f>
        <v>318766.70800000004</v>
      </c>
      <c r="Y29" s="83">
        <f>SUM(Y13:Y28)</f>
        <v>916454.28550000011</v>
      </c>
      <c r="Z29" s="82">
        <f>SUM(Z13:Z28)</f>
        <v>541995.43699999992</v>
      </c>
      <c r="AA29" s="19"/>
      <c r="AB29" s="19"/>
      <c r="AC29" s="19"/>
      <c r="AD29" s="19"/>
      <c r="AE29" s="19"/>
      <c r="AG29" s="84">
        <f>SUM(AG13:AG28)</f>
        <v>69847.375</v>
      </c>
      <c r="AH29" s="85"/>
      <c r="AI29" s="84">
        <f>SUM(AI13:AI28)</f>
        <v>1518</v>
      </c>
      <c r="AJ29" s="28"/>
      <c r="AK29" s="28" t="e">
        <f>SUM(AK13:AK28)</f>
        <v>#REF!</v>
      </c>
    </row>
    <row r="30" spans="1:37" ht="54.75" customHeight="1" x14ac:dyDescent="0.25">
      <c r="A30" s="19"/>
      <c r="B30" s="19"/>
      <c r="C30" s="25"/>
      <c r="D30" s="25"/>
      <c r="E30" s="86"/>
      <c r="F30" s="87"/>
      <c r="G30" s="88"/>
      <c r="I30" s="88"/>
      <c r="J30" s="88"/>
      <c r="K30" s="88"/>
      <c r="L30" s="88"/>
      <c r="M30" s="88"/>
      <c r="N30" s="88"/>
      <c r="O30" s="88"/>
      <c r="P30" s="88"/>
      <c r="Q30" s="88"/>
      <c r="R30" s="88"/>
      <c r="S30" s="88"/>
      <c r="T30" s="88"/>
      <c r="U30" s="88"/>
      <c r="V30" s="88"/>
      <c r="W30" s="88"/>
      <c r="X30" s="88"/>
      <c r="Y30" s="88"/>
      <c r="Z30" s="88"/>
      <c r="AA30" s="19"/>
      <c r="AB30" s="19"/>
      <c r="AC30" s="19"/>
      <c r="AD30" s="19"/>
      <c r="AE30" s="19"/>
      <c r="AG30" s="89"/>
      <c r="AH30" s="22"/>
      <c r="AI30" s="89"/>
      <c r="AJ30" s="19"/>
      <c r="AK30" s="19"/>
    </row>
    <row r="31" spans="1:37" ht="44.25" customHeight="1" x14ac:dyDescent="0.25">
      <c r="A31" s="1022" t="s">
        <v>143</v>
      </c>
      <c r="B31" s="1022"/>
      <c r="C31" s="1022"/>
      <c r="D31" s="1022"/>
      <c r="E31" s="979"/>
      <c r="F31" s="979"/>
      <c r="G31" s="90"/>
      <c r="H31" s="1023"/>
      <c r="I31" s="1023"/>
      <c r="J31" s="1023"/>
      <c r="K31" s="19"/>
      <c r="L31" s="19"/>
      <c r="M31" s="19"/>
      <c r="N31" s="19"/>
      <c r="O31" s="19"/>
      <c r="P31" s="19"/>
      <c r="Q31" s="19"/>
      <c r="R31" s="19"/>
      <c r="W31" s="19"/>
      <c r="X31" s="19"/>
      <c r="Y31" s="19"/>
      <c r="Z31" s="19"/>
      <c r="AA31" s="19"/>
      <c r="AB31" s="19"/>
      <c r="AC31" s="19"/>
      <c r="AD31" s="19"/>
      <c r="AE31" s="19"/>
    </row>
    <row r="32" spans="1:37" ht="18" customHeight="1" x14ac:dyDescent="0.25">
      <c r="B32" s="91"/>
      <c r="C32" s="91"/>
      <c r="E32" s="981" t="s">
        <v>7</v>
      </c>
      <c r="F32" s="981"/>
      <c r="G32" s="92"/>
      <c r="H32" s="981"/>
      <c r="I32" s="981"/>
      <c r="J32" s="981"/>
      <c r="K32" s="19"/>
      <c r="L32" s="19"/>
      <c r="M32" s="19"/>
      <c r="N32" s="19"/>
      <c r="O32" s="19"/>
      <c r="P32" s="19"/>
      <c r="Q32" s="19"/>
      <c r="R32" s="19"/>
      <c r="T32" s="1026"/>
      <c r="U32" s="1026"/>
      <c r="V32" s="90"/>
      <c r="W32" s="983"/>
      <c r="X32" s="983"/>
      <c r="Y32" s="983"/>
      <c r="Z32" s="19"/>
      <c r="AA32" s="19"/>
      <c r="AB32" s="19"/>
      <c r="AC32" s="19"/>
      <c r="AD32" s="19"/>
      <c r="AE32" s="19"/>
    </row>
    <row r="33" spans="1:34" x14ac:dyDescent="0.25">
      <c r="A33" s="1024" t="s">
        <v>144</v>
      </c>
      <c r="B33" s="1024"/>
      <c r="C33" s="1024"/>
      <c r="D33" s="1024"/>
      <c r="E33" s="1023"/>
      <c r="F33" s="1023"/>
      <c r="G33" s="20"/>
      <c r="H33" s="1023"/>
      <c r="I33" s="1023"/>
      <c r="J33" s="1023"/>
      <c r="K33" s="19"/>
      <c r="L33" s="19"/>
      <c r="M33" s="19"/>
      <c r="N33" s="19"/>
      <c r="O33" s="19"/>
      <c r="P33" s="19"/>
      <c r="Q33" s="19"/>
      <c r="R33" s="19"/>
      <c r="T33" s="1025"/>
      <c r="U33" s="1025"/>
      <c r="V33" s="24"/>
      <c r="W33" s="1025"/>
      <c r="X33" s="1025"/>
      <c r="Y33" s="1025"/>
      <c r="Z33" s="19"/>
      <c r="AA33" s="19"/>
      <c r="AB33" s="19"/>
      <c r="AC33" s="19"/>
      <c r="AD33" s="19"/>
      <c r="AE33" s="19"/>
      <c r="AH33" s="1027" t="s">
        <v>145</v>
      </c>
    </row>
    <row r="34" spans="1:34" x14ac:dyDescent="0.25">
      <c r="B34" s="91"/>
      <c r="C34" s="91"/>
      <c r="E34" s="1030" t="s">
        <v>7</v>
      </c>
      <c r="F34" s="1030"/>
      <c r="G34" s="93"/>
      <c r="H34" s="981"/>
      <c r="I34" s="981"/>
      <c r="J34" s="981"/>
      <c r="K34" s="19"/>
      <c r="L34" s="19"/>
      <c r="M34" s="19"/>
      <c r="N34" s="19"/>
      <c r="O34" s="19"/>
      <c r="P34" s="19"/>
      <c r="Q34" s="19"/>
      <c r="R34" s="19"/>
      <c r="W34" s="19"/>
      <c r="X34" s="19"/>
      <c r="Y34" s="19"/>
      <c r="Z34" s="19"/>
      <c r="AA34" s="19"/>
      <c r="AB34" s="19"/>
      <c r="AC34" s="19"/>
      <c r="AD34" s="19"/>
      <c r="AE34" s="19"/>
      <c r="AH34" s="1028"/>
    </row>
    <row r="35" spans="1:34" x14ac:dyDescent="0.25">
      <c r="B35" s="1031"/>
      <c r="C35" s="1031"/>
      <c r="D35" s="983"/>
      <c r="E35" s="983"/>
      <c r="F35" s="983"/>
      <c r="G35" s="29"/>
      <c r="H35" s="29"/>
      <c r="I35" s="29"/>
      <c r="J35" s="19"/>
      <c r="K35" s="19"/>
      <c r="L35" s="19"/>
      <c r="AH35" s="1028"/>
    </row>
    <row r="36" spans="1:34" x14ac:dyDescent="0.25">
      <c r="B36" s="19"/>
      <c r="C36" s="19"/>
      <c r="D36" s="983"/>
      <c r="E36" s="983"/>
      <c r="F36" s="983"/>
      <c r="G36" s="19"/>
      <c r="H36" s="983"/>
      <c r="I36" s="983"/>
      <c r="J36" s="983"/>
      <c r="K36" s="19"/>
      <c r="L36" s="19"/>
      <c r="AH36" s="1028"/>
    </row>
    <row r="37" spans="1:34" x14ac:dyDescent="0.25">
      <c r="B37" s="19"/>
      <c r="C37" s="19"/>
      <c r="D37" s="19"/>
      <c r="E37" s="19"/>
      <c r="F37" s="19"/>
      <c r="G37" s="19"/>
      <c r="H37" s="19"/>
      <c r="I37" s="19"/>
      <c r="J37" s="19"/>
      <c r="AH37" s="1029"/>
    </row>
    <row r="40" spans="1:34" x14ac:dyDescent="0.25">
      <c r="Y40" s="18">
        <f>Y29/E29</f>
        <v>32965.98149280576</v>
      </c>
    </row>
  </sheetData>
  <mergeCells count="60">
    <mergeCell ref="AH33:AH37"/>
    <mergeCell ref="E34:F34"/>
    <mergeCell ref="H34:J34"/>
    <mergeCell ref="B35:C35"/>
    <mergeCell ref="D35:F35"/>
    <mergeCell ref="D36:F36"/>
    <mergeCell ref="H36:J36"/>
    <mergeCell ref="W32:Y32"/>
    <mergeCell ref="A33:D33"/>
    <mergeCell ref="E33:F33"/>
    <mergeCell ref="H33:J33"/>
    <mergeCell ref="T33:U33"/>
    <mergeCell ref="W33:Y33"/>
    <mergeCell ref="T32:U32"/>
    <mergeCell ref="A31:D31"/>
    <mergeCell ref="E31:F31"/>
    <mergeCell ref="H31:J31"/>
    <mergeCell ref="E32:F32"/>
    <mergeCell ref="H32:J32"/>
    <mergeCell ref="A12:B12"/>
    <mergeCell ref="B13:B15"/>
    <mergeCell ref="B16:B19"/>
    <mergeCell ref="B20:B22"/>
    <mergeCell ref="B23:B26"/>
    <mergeCell ref="C29:D29"/>
    <mergeCell ref="AG9:AG10"/>
    <mergeCell ref="AH9:AH10"/>
    <mergeCell ref="AI9:AI10"/>
    <mergeCell ref="AJ9:AJ10"/>
    <mergeCell ref="D9:D11"/>
    <mergeCell ref="E9:E11"/>
    <mergeCell ref="F9:F11"/>
    <mergeCell ref="G9:G11"/>
    <mergeCell ref="AK9:AK10"/>
    <mergeCell ref="A10:B11"/>
    <mergeCell ref="C10:C11"/>
    <mergeCell ref="H10:I10"/>
    <mergeCell ref="J10:K10"/>
    <mergeCell ref="L10:M10"/>
    <mergeCell ref="H9:K9"/>
    <mergeCell ref="L9:T9"/>
    <mergeCell ref="U9:V10"/>
    <mergeCell ref="W9:X10"/>
    <mergeCell ref="Y9:Y11"/>
    <mergeCell ref="Z9:Z11"/>
    <mergeCell ref="N10:O10"/>
    <mergeCell ref="P10:Q10"/>
    <mergeCell ref="S10:S11"/>
    <mergeCell ref="A9:C9"/>
    <mergeCell ref="B6:G6"/>
    <mergeCell ref="H6:J6"/>
    <mergeCell ref="B7:G7"/>
    <mergeCell ref="H7:J7"/>
    <mergeCell ref="K7:M7"/>
    <mergeCell ref="U2:X2"/>
    <mergeCell ref="V3:X3"/>
    <mergeCell ref="B4:R4"/>
    <mergeCell ref="AC4:AE4"/>
    <mergeCell ref="B5:R5"/>
    <mergeCell ref="U5:X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50"/>
  <sheetViews>
    <sheetView topLeftCell="C13" zoomScale="70" zoomScaleNormal="70" workbookViewId="0">
      <selection activeCell="G42" sqref="G42"/>
    </sheetView>
  </sheetViews>
  <sheetFormatPr defaultColWidth="8.85546875" defaultRowHeight="15.75" x14ac:dyDescent="0.25"/>
  <cols>
    <col min="1" max="1" width="4.140625" style="108" customWidth="1"/>
    <col min="2" max="2" width="21.85546875" style="110" bestFit="1" customWidth="1"/>
    <col min="3" max="3" width="7.5703125" style="110" customWidth="1"/>
    <col min="4" max="4" width="7.7109375" style="108" customWidth="1"/>
    <col min="5" max="5" width="13.28515625" style="108" bestFit="1" customWidth="1"/>
    <col min="6" max="6" width="17" style="108" customWidth="1"/>
    <col min="7" max="8" width="17.85546875" style="108" customWidth="1"/>
    <col min="9" max="11" width="15.85546875" style="108" customWidth="1"/>
    <col min="12" max="13" width="14.28515625" style="108" bestFit="1" customWidth="1"/>
    <col min="14" max="16" width="15.85546875" style="108" customWidth="1"/>
    <col min="17" max="17" width="18.140625" style="108" customWidth="1"/>
    <col min="18" max="18" width="12.140625" style="108" customWidth="1"/>
    <col min="19" max="19" width="21.28515625" style="108" bestFit="1" customWidth="1"/>
    <col min="20" max="20" width="12" style="108" bestFit="1" customWidth="1"/>
    <col min="21" max="16384" width="8.85546875" style="108"/>
  </cols>
  <sheetData>
    <row r="3" spans="2:20" x14ac:dyDescent="0.25">
      <c r="E3" s="108" t="s">
        <v>3</v>
      </c>
      <c r="F3" s="108" t="s">
        <v>152</v>
      </c>
      <c r="G3" s="108" t="s">
        <v>153</v>
      </c>
      <c r="H3" s="108" t="s">
        <v>154</v>
      </c>
      <c r="I3" s="108" t="s">
        <v>155</v>
      </c>
      <c r="J3" s="108" t="s">
        <v>156</v>
      </c>
      <c r="K3" s="108" t="s">
        <v>157</v>
      </c>
      <c r="L3" s="108" t="s">
        <v>158</v>
      </c>
      <c r="M3" s="108" t="s">
        <v>159</v>
      </c>
      <c r="N3" s="108" t="s">
        <v>160</v>
      </c>
      <c r="O3" s="108" t="s">
        <v>161</v>
      </c>
      <c r="P3" s="108" t="s">
        <v>162</v>
      </c>
      <c r="Q3" s="108" t="s">
        <v>163</v>
      </c>
      <c r="R3" s="108" t="s">
        <v>164</v>
      </c>
      <c r="S3" s="108" t="s">
        <v>165</v>
      </c>
    </row>
    <row r="4" spans="2:20" ht="19.149999999999999" customHeight="1" x14ac:dyDescent="0.25">
      <c r="B4" s="111" t="e">
        <f>Лист4!#REF!</f>
        <v>#REF!</v>
      </c>
      <c r="C4" s="111" t="s">
        <v>182</v>
      </c>
      <c r="D4" s="112" t="e">
        <f>Лист4!#REF!</f>
        <v>#REF!</v>
      </c>
      <c r="E4" s="108" t="e">
        <f>SUM(F4:Q4)</f>
        <v>#REF!</v>
      </c>
      <c r="F4" s="113" t="e">
        <f>Лист4!#REF!</f>
        <v>#REF!</v>
      </c>
      <c r="G4" s="113" t="e">
        <f>F4</f>
        <v>#REF!</v>
      </c>
      <c r="H4" s="113" t="e">
        <f>G4+50000</f>
        <v>#REF!</v>
      </c>
      <c r="I4" s="113" t="e">
        <f>H4</f>
        <v>#REF!</v>
      </c>
      <c r="J4" s="113">
        <v>918496.14</v>
      </c>
      <c r="K4" s="113">
        <f>J4+918496.14+918496.13</f>
        <v>2755488.41</v>
      </c>
      <c r="L4" s="113">
        <v>150000</v>
      </c>
      <c r="M4" s="113">
        <f t="shared" ref="M4:Q4" si="0">L4</f>
        <v>150000</v>
      </c>
      <c r="N4" s="113">
        <f>918496.14+50000</f>
        <v>968496.14</v>
      </c>
      <c r="O4" s="113" t="e">
        <f>F4+3695.35</f>
        <v>#REF!</v>
      </c>
      <c r="P4" s="113">
        <v>918496.14</v>
      </c>
      <c r="Q4" s="113">
        <f t="shared" si="0"/>
        <v>918496.14</v>
      </c>
      <c r="R4" s="114" t="e">
        <f>S4-E4</f>
        <v>#REF!</v>
      </c>
      <c r="S4" s="115" t="e">
        <f>Лист4!#REF!</f>
        <v>#REF!</v>
      </c>
    </row>
    <row r="5" spans="2:20" x14ac:dyDescent="0.25">
      <c r="B5" s="111" t="e">
        <f>Лист4!#REF!</f>
        <v>#REF!</v>
      </c>
      <c r="C5" s="111" t="s">
        <v>183</v>
      </c>
      <c r="D5" s="112" t="e">
        <f>Лист4!#REF!</f>
        <v>#REF!</v>
      </c>
      <c r="E5" s="108" t="e">
        <f t="shared" ref="E5:E46" si="1">SUM(F5:Q5)</f>
        <v>#REF!</v>
      </c>
      <c r="F5" s="113" t="e">
        <f>F4*30.2%</f>
        <v>#REF!</v>
      </c>
      <c r="G5" s="113" t="e">
        <f t="shared" ref="G5:Q5" si="2">G4*30.2%</f>
        <v>#REF!</v>
      </c>
      <c r="H5" s="113" t="e">
        <f t="shared" si="2"/>
        <v>#REF!</v>
      </c>
      <c r="I5" s="113" t="e">
        <f t="shared" si="2"/>
        <v>#REF!</v>
      </c>
      <c r="J5" s="113">
        <f t="shared" si="2"/>
        <v>277385.83428000001</v>
      </c>
      <c r="K5" s="113">
        <f t="shared" si="2"/>
        <v>832157.49982000003</v>
      </c>
      <c r="L5" s="113">
        <f t="shared" si="2"/>
        <v>45300</v>
      </c>
      <c r="M5" s="113">
        <f t="shared" si="2"/>
        <v>45300</v>
      </c>
      <c r="N5" s="113">
        <f t="shared" si="2"/>
        <v>292485.83428000001</v>
      </c>
      <c r="O5" s="113" t="e">
        <f t="shared" si="2"/>
        <v>#REF!</v>
      </c>
      <c r="P5" s="113">
        <f t="shared" si="2"/>
        <v>277385.83428000001</v>
      </c>
      <c r="Q5" s="113">
        <f t="shared" si="2"/>
        <v>277385.83428000001</v>
      </c>
      <c r="R5" s="114" t="e">
        <f t="shared" ref="R5" si="3">S5-E5</f>
        <v>#REF!</v>
      </c>
      <c r="S5" s="115" t="e">
        <f>Лист4!#REF!</f>
        <v>#REF!</v>
      </c>
    </row>
    <row r="6" spans="2:20" x14ac:dyDescent="0.25">
      <c r="B6" s="111"/>
      <c r="C6" s="111"/>
      <c r="D6" s="112"/>
      <c r="E6" s="127" t="e">
        <f t="shared" si="1"/>
        <v>#REF!</v>
      </c>
      <c r="F6" s="128">
        <f>1195881.97-1024773.97</f>
        <v>171108</v>
      </c>
      <c r="G6" s="128" t="e">
        <f>G4+G5+350000</f>
        <v>#REF!</v>
      </c>
      <c r="H6" s="128" t="e">
        <f t="shared" ref="H6:P6" si="4">H4+H5</f>
        <v>#REF!</v>
      </c>
      <c r="I6" s="128" t="e">
        <f t="shared" si="4"/>
        <v>#REF!</v>
      </c>
      <c r="J6" s="128">
        <f t="shared" si="4"/>
        <v>1195881.97428</v>
      </c>
      <c r="K6" s="128">
        <f t="shared" si="4"/>
        <v>3587645.9098200002</v>
      </c>
      <c r="L6" s="128">
        <f t="shared" si="4"/>
        <v>195300</v>
      </c>
      <c r="M6" s="128">
        <f t="shared" si="4"/>
        <v>195300</v>
      </c>
      <c r="N6" s="128">
        <f t="shared" si="4"/>
        <v>1260981.97428</v>
      </c>
      <c r="O6" s="128" t="e">
        <f t="shared" si="4"/>
        <v>#REF!</v>
      </c>
      <c r="P6" s="128">
        <f t="shared" si="4"/>
        <v>1195881.97428</v>
      </c>
      <c r="Q6" s="128">
        <f>Q4+Q5+1024773.97-350000</f>
        <v>1870655.9442799999</v>
      </c>
      <c r="R6" s="114"/>
      <c r="S6" s="115"/>
    </row>
    <row r="7" spans="2:20" ht="31.5" x14ac:dyDescent="0.25">
      <c r="B7" s="111" t="s">
        <v>166</v>
      </c>
      <c r="C7" s="111" t="s">
        <v>184</v>
      </c>
      <c r="D7" s="112" t="e">
        <f>Лист4!#REF!</f>
        <v>#REF!</v>
      </c>
      <c r="E7" s="108">
        <f t="shared" si="1"/>
        <v>520000</v>
      </c>
      <c r="F7" s="116"/>
      <c r="G7" s="116"/>
      <c r="H7" s="116"/>
      <c r="I7" s="116"/>
      <c r="J7" s="116"/>
      <c r="K7" s="116">
        <v>400000</v>
      </c>
      <c r="L7" s="116"/>
      <c r="M7" s="116">
        <v>120000</v>
      </c>
      <c r="N7" s="116"/>
      <c r="O7" s="116"/>
      <c r="P7" s="116"/>
      <c r="Q7" s="116"/>
      <c r="S7" s="117" t="e">
        <f>Лист4!#REF!</f>
        <v>#REF!</v>
      </c>
    </row>
    <row r="8" spans="2:20" x14ac:dyDescent="0.25">
      <c r="B8" s="111" t="e">
        <f>Лист4!#REF!</f>
        <v>#REF!</v>
      </c>
      <c r="C8" s="111" t="s">
        <v>184</v>
      </c>
      <c r="D8" s="112" t="e">
        <f>Лист4!#REF!</f>
        <v>#REF!</v>
      </c>
      <c r="E8" s="108">
        <f t="shared" si="1"/>
        <v>99600</v>
      </c>
      <c r="F8" s="116"/>
      <c r="G8" s="116">
        <v>33200</v>
      </c>
      <c r="H8" s="116"/>
      <c r="I8" s="116">
        <v>0</v>
      </c>
      <c r="J8" s="116"/>
      <c r="K8" s="116"/>
      <c r="L8" s="116"/>
      <c r="M8" s="116"/>
      <c r="N8" s="116"/>
      <c r="O8" s="116">
        <v>33200</v>
      </c>
      <c r="P8" s="116">
        <v>33200</v>
      </c>
      <c r="Q8" s="116"/>
      <c r="S8" s="118" t="e">
        <f>Лист4!#REF!</f>
        <v>#REF!</v>
      </c>
    </row>
    <row r="9" spans="2:20" x14ac:dyDescent="0.25">
      <c r="B9" s="111" t="e">
        <f>Лист4!#REF!</f>
        <v>#REF!</v>
      </c>
      <c r="C9" s="111" t="s">
        <v>185</v>
      </c>
      <c r="D9" s="112" t="e">
        <f>Лист4!#REF!</f>
        <v>#REF!</v>
      </c>
      <c r="E9" s="108">
        <f t="shared" si="1"/>
        <v>144660</v>
      </c>
      <c r="F9" s="116">
        <f>F10+F11+F12-11265</f>
        <v>0</v>
      </c>
      <c r="G9" s="116">
        <f>3000+6500+1765+11265</f>
        <v>22530</v>
      </c>
      <c r="H9" s="116">
        <f t="shared" ref="H9:P9" si="5">3000+6500+1765</f>
        <v>11265</v>
      </c>
      <c r="I9" s="116">
        <f t="shared" si="5"/>
        <v>11265</v>
      </c>
      <c r="J9" s="116">
        <f t="shared" si="5"/>
        <v>11265</v>
      </c>
      <c r="K9" s="116">
        <f t="shared" si="5"/>
        <v>11265</v>
      </c>
      <c r="L9" s="116">
        <f t="shared" si="5"/>
        <v>11265</v>
      </c>
      <c r="M9" s="116">
        <f t="shared" si="5"/>
        <v>11265</v>
      </c>
      <c r="N9" s="116">
        <f t="shared" si="5"/>
        <v>11265</v>
      </c>
      <c r="O9" s="116">
        <f t="shared" si="5"/>
        <v>11265</v>
      </c>
      <c r="P9" s="116">
        <f t="shared" si="5"/>
        <v>11265</v>
      </c>
      <c r="Q9" s="116">
        <f>Q10+Q11+Q12+Q13</f>
        <v>20745</v>
      </c>
      <c r="R9" s="108">
        <f>E9</f>
        <v>144660</v>
      </c>
      <c r="S9" s="118" t="e">
        <f>Лист4!#REF!</f>
        <v>#REF!</v>
      </c>
      <c r="T9" s="114" t="e">
        <f>S9-R9</f>
        <v>#REF!</v>
      </c>
    </row>
    <row r="10" spans="2:20" x14ac:dyDescent="0.25">
      <c r="E10" s="108">
        <f t="shared" si="1"/>
        <v>78000</v>
      </c>
      <c r="F10" s="119">
        <v>6500</v>
      </c>
      <c r="G10" s="119">
        <v>6500</v>
      </c>
      <c r="H10" s="119">
        <v>6500</v>
      </c>
      <c r="I10" s="119">
        <v>6500</v>
      </c>
      <c r="J10" s="119">
        <v>6500</v>
      </c>
      <c r="K10" s="119">
        <v>6500</v>
      </c>
      <c r="L10" s="119">
        <v>6500</v>
      </c>
      <c r="M10" s="119">
        <v>6500</v>
      </c>
      <c r="N10" s="119">
        <v>6500</v>
      </c>
      <c r="O10" s="119">
        <v>6500</v>
      </c>
      <c r="P10" s="119">
        <v>6500</v>
      </c>
      <c r="Q10" s="119">
        <v>6500</v>
      </c>
    </row>
    <row r="11" spans="2:20" x14ac:dyDescent="0.25">
      <c r="E11" s="108">
        <f t="shared" si="1"/>
        <v>21180</v>
      </c>
      <c r="F11" s="119">
        <v>1765</v>
      </c>
      <c r="G11" s="119">
        <v>1765</v>
      </c>
      <c r="H11" s="119">
        <v>1765</v>
      </c>
      <c r="I11" s="119">
        <v>1765</v>
      </c>
      <c r="J11" s="119">
        <v>1765</v>
      </c>
      <c r="K11" s="119">
        <v>1765</v>
      </c>
      <c r="L11" s="119">
        <v>1765</v>
      </c>
      <c r="M11" s="119">
        <v>1765</v>
      </c>
      <c r="N11" s="119">
        <v>1765</v>
      </c>
      <c r="O11" s="119">
        <v>1765</v>
      </c>
      <c r="P11" s="119">
        <v>1765</v>
      </c>
      <c r="Q11" s="119">
        <v>1765</v>
      </c>
    </row>
    <row r="12" spans="2:20" x14ac:dyDescent="0.25">
      <c r="E12" s="108">
        <f t="shared" si="1"/>
        <v>36000</v>
      </c>
      <c r="F12" s="119">
        <v>3000</v>
      </c>
      <c r="G12" s="119">
        <v>3000</v>
      </c>
      <c r="H12" s="119">
        <v>3000</v>
      </c>
      <c r="I12" s="119">
        <v>3000</v>
      </c>
      <c r="J12" s="119">
        <v>3000</v>
      </c>
      <c r="K12" s="119">
        <v>3000</v>
      </c>
      <c r="L12" s="119">
        <v>3000</v>
      </c>
      <c r="M12" s="119">
        <v>3000</v>
      </c>
      <c r="N12" s="119">
        <v>3000</v>
      </c>
      <c r="O12" s="119">
        <v>3000</v>
      </c>
      <c r="P12" s="119">
        <v>3000</v>
      </c>
      <c r="Q12" s="119">
        <v>3000</v>
      </c>
    </row>
    <row r="13" spans="2:20" x14ac:dyDescent="0.25">
      <c r="F13" s="119"/>
      <c r="G13" s="119"/>
      <c r="H13" s="119"/>
      <c r="I13" s="119"/>
      <c r="J13" s="119"/>
      <c r="K13" s="119"/>
      <c r="L13" s="119"/>
      <c r="M13" s="119"/>
      <c r="N13" s="119"/>
      <c r="O13" s="119"/>
      <c r="P13" s="119"/>
      <c r="Q13" s="129">
        <f>20745-11265</f>
        <v>9480</v>
      </c>
    </row>
    <row r="14" spans="2:20" x14ac:dyDescent="0.25">
      <c r="B14" s="111" t="e">
        <f>Лист4!#REF!</f>
        <v>#REF!</v>
      </c>
      <c r="C14" s="111" t="s">
        <v>186</v>
      </c>
      <c r="D14" s="112" t="e">
        <f>Лист4!#REF!</f>
        <v>#REF!</v>
      </c>
      <c r="E14" s="108">
        <f t="shared" si="1"/>
        <v>120000</v>
      </c>
      <c r="F14" s="116"/>
      <c r="G14" s="116">
        <v>30000</v>
      </c>
      <c r="H14" s="116"/>
      <c r="I14" s="116">
        <v>30000</v>
      </c>
      <c r="J14" s="116"/>
      <c r="K14" s="116"/>
      <c r="L14" s="116"/>
      <c r="M14" s="116"/>
      <c r="N14" s="116"/>
      <c r="O14" s="116"/>
      <c r="P14" s="116">
        <v>30000</v>
      </c>
      <c r="Q14" s="116">
        <v>30000</v>
      </c>
      <c r="S14" s="120" t="e">
        <f>Лист4!#REF!</f>
        <v>#REF!</v>
      </c>
    </row>
    <row r="15" spans="2:20" x14ac:dyDescent="0.25">
      <c r="B15" s="111" t="e">
        <f>Лист4!#REF!</f>
        <v>#REF!</v>
      </c>
      <c r="C15" s="111" t="s">
        <v>187</v>
      </c>
      <c r="D15" s="112" t="s">
        <v>181</v>
      </c>
      <c r="E15" s="108">
        <f t="shared" si="1"/>
        <v>3380034.1999999997</v>
      </c>
      <c r="F15" s="116">
        <f>F16+F17+F18+F19-375745.67</f>
        <v>0</v>
      </c>
      <c r="G15" s="116">
        <f>G16+G17+G18+G19+15000</f>
        <v>379491.35000000003</v>
      </c>
      <c r="H15" s="116">
        <f t="shared" ref="H15:P15" si="6">H16+H17+H18+H19</f>
        <v>267270.36</v>
      </c>
      <c r="I15" s="116">
        <f>I16+I17+I18+I19</f>
        <v>398541.97</v>
      </c>
      <c r="J15" s="116">
        <f t="shared" si="6"/>
        <v>259456.78</v>
      </c>
      <c r="K15" s="116">
        <f t="shared" si="6"/>
        <v>69387.649999999994</v>
      </c>
      <c r="L15" s="116">
        <f t="shared" si="6"/>
        <v>55505.7</v>
      </c>
      <c r="M15" s="116">
        <f t="shared" si="6"/>
        <v>63725.7</v>
      </c>
      <c r="N15" s="116">
        <f t="shared" si="6"/>
        <v>163550.12</v>
      </c>
      <c r="O15" s="116">
        <f t="shared" si="6"/>
        <v>298420.15000000002</v>
      </c>
      <c r="P15" s="116">
        <f t="shared" si="6"/>
        <v>438899.39</v>
      </c>
      <c r="Q15" s="116">
        <f>Q16+Q17+Q18+Q19+360745.67+Q20</f>
        <v>985785.02999999991</v>
      </c>
      <c r="R15" s="121">
        <f>E15</f>
        <v>3380034.1999999997</v>
      </c>
      <c r="S15" s="122">
        <f>S16+S17+S18+S19</f>
        <v>3380034.2</v>
      </c>
      <c r="T15" s="108">
        <f>S15-R15</f>
        <v>0</v>
      </c>
    </row>
    <row r="16" spans="2:20" x14ac:dyDescent="0.25">
      <c r="E16" s="108">
        <f t="shared" si="1"/>
        <v>2152531.7399999998</v>
      </c>
      <c r="F16" s="119">
        <v>281358.02</v>
      </c>
      <c r="G16" s="119">
        <v>270103.7</v>
      </c>
      <c r="H16" s="119">
        <v>182882.71</v>
      </c>
      <c r="I16" s="119">
        <v>239154.32</v>
      </c>
      <c r="J16" s="119">
        <v>180069.13</v>
      </c>
      <c r="K16" s="119">
        <v>0</v>
      </c>
      <c r="L16" s="119">
        <v>0</v>
      </c>
      <c r="M16" s="119">
        <v>0</v>
      </c>
      <c r="N16" s="119">
        <v>78044.42</v>
      </c>
      <c r="O16" s="119">
        <v>202914.45</v>
      </c>
      <c r="P16" s="119">
        <v>343393.69</v>
      </c>
      <c r="Q16" s="119">
        <v>374611.3</v>
      </c>
      <c r="R16" s="108">
        <f>SUM(F16:Q16)</f>
        <v>2152531.7399999998</v>
      </c>
      <c r="S16" s="108">
        <v>2278884.2000000002</v>
      </c>
      <c r="T16" s="108">
        <f>S16-R16</f>
        <v>126352.46000000043</v>
      </c>
    </row>
    <row r="17" spans="1:20" x14ac:dyDescent="0.25">
      <c r="E17" s="108">
        <f t="shared" si="1"/>
        <v>153246.6</v>
      </c>
      <c r="F17" s="119">
        <v>12484.4</v>
      </c>
      <c r="G17" s="119">
        <v>12484.4</v>
      </c>
      <c r="H17" s="119">
        <v>12484.4</v>
      </c>
      <c r="I17" s="119">
        <v>12484.4</v>
      </c>
      <c r="J17" s="119">
        <v>12484.4</v>
      </c>
      <c r="K17" s="119">
        <v>12484.4</v>
      </c>
      <c r="L17" s="119">
        <v>13056.7</v>
      </c>
      <c r="M17" s="119">
        <v>13056.7</v>
      </c>
      <c r="N17" s="119">
        <v>13056.7</v>
      </c>
      <c r="O17" s="119">
        <v>13056.7</v>
      </c>
      <c r="P17" s="119">
        <v>13056.7</v>
      </c>
      <c r="Q17" s="119">
        <v>13056.7</v>
      </c>
      <c r="R17" s="108">
        <f t="shared" ref="R17:R18" si="7">SUM(F17:Q17)</f>
        <v>153246.6</v>
      </c>
      <c r="S17" s="108">
        <v>154800</v>
      </c>
      <c r="T17" s="108">
        <f t="shared" ref="T17:T41" si="8">S17-R17</f>
        <v>1553.3999999999942</v>
      </c>
    </row>
    <row r="18" spans="1:20" x14ac:dyDescent="0.25">
      <c r="E18" s="108">
        <f t="shared" si="1"/>
        <v>146113.5</v>
      </c>
      <c r="F18" s="119">
        <v>11903.25</v>
      </c>
      <c r="G18" s="119">
        <v>11903.25</v>
      </c>
      <c r="H18" s="119">
        <v>11903.25</v>
      </c>
      <c r="I18" s="119">
        <v>11903.25</v>
      </c>
      <c r="J18" s="119">
        <v>11903.25</v>
      </c>
      <c r="K18" s="119">
        <v>11903.25</v>
      </c>
      <c r="L18" s="119">
        <v>12449</v>
      </c>
      <c r="M18" s="119">
        <v>12449</v>
      </c>
      <c r="N18" s="119">
        <v>12449</v>
      </c>
      <c r="O18" s="119">
        <v>12449</v>
      </c>
      <c r="P18" s="119">
        <v>12449</v>
      </c>
      <c r="Q18" s="119">
        <v>12449</v>
      </c>
      <c r="R18" s="108">
        <f t="shared" si="7"/>
        <v>146113.5</v>
      </c>
      <c r="S18" s="108">
        <v>147420</v>
      </c>
      <c r="T18" s="108">
        <f t="shared" si="8"/>
        <v>1306.5</v>
      </c>
    </row>
    <row r="19" spans="1:20" x14ac:dyDescent="0.25">
      <c r="E19" s="108">
        <f t="shared" si="1"/>
        <v>768220</v>
      </c>
      <c r="F19" s="119">
        <v>70000</v>
      </c>
      <c r="G19" s="119">
        <v>70000</v>
      </c>
      <c r="H19" s="119">
        <v>60000</v>
      </c>
      <c r="I19" s="119">
        <f>55000+80000</f>
        <v>135000</v>
      </c>
      <c r="J19" s="119">
        <v>55000</v>
      </c>
      <c r="K19" s="119">
        <v>45000</v>
      </c>
      <c r="L19" s="119">
        <v>30000</v>
      </c>
      <c r="M19" s="119">
        <f>40000-1780</f>
        <v>38220</v>
      </c>
      <c r="N19" s="119">
        <v>60000</v>
      </c>
      <c r="O19" s="119">
        <v>70000</v>
      </c>
      <c r="P19" s="119">
        <v>70000</v>
      </c>
      <c r="Q19" s="119">
        <v>65000</v>
      </c>
      <c r="R19" s="108">
        <f>SUM(F19:Q19)-80000</f>
        <v>688220</v>
      </c>
      <c r="S19" s="108">
        <v>798930</v>
      </c>
      <c r="T19" s="108">
        <f t="shared" si="8"/>
        <v>110710</v>
      </c>
    </row>
    <row r="20" spans="1:20" x14ac:dyDescent="0.25">
      <c r="F20" s="119"/>
      <c r="G20" s="119"/>
      <c r="H20" s="119"/>
      <c r="I20" s="119"/>
      <c r="J20" s="119"/>
      <c r="K20" s="119"/>
      <c r="L20" s="119"/>
      <c r="M20" s="119"/>
      <c r="N20" s="119"/>
      <c r="O20" s="119"/>
      <c r="P20" s="119"/>
      <c r="Q20" s="129">
        <f>239922.36-80000</f>
        <v>159922.35999999999</v>
      </c>
    </row>
    <row r="21" spans="1:20" x14ac:dyDescent="0.25">
      <c r="B21" s="123" t="e">
        <f>Лист4!#REF!</f>
        <v>#REF!</v>
      </c>
      <c r="C21" s="123"/>
      <c r="D21" s="122"/>
      <c r="E21" s="122">
        <f>SUM(F21:Q21)</f>
        <v>1285057.08</v>
      </c>
      <c r="F21" s="116">
        <f t="shared" ref="F21:P21" si="9">SUM(F23:F39)</f>
        <v>0</v>
      </c>
      <c r="G21" s="116">
        <f t="shared" si="9"/>
        <v>69522.429999999993</v>
      </c>
      <c r="H21" s="116">
        <f t="shared" si="9"/>
        <v>98522.430000000008</v>
      </c>
      <c r="I21" s="116">
        <f t="shared" si="9"/>
        <v>59584.79</v>
      </c>
      <c r="J21" s="116">
        <f t="shared" si="9"/>
        <v>59584.79</v>
      </c>
      <c r="K21" s="116">
        <f t="shared" si="9"/>
        <v>232344.79</v>
      </c>
      <c r="L21" s="116">
        <f t="shared" si="9"/>
        <v>49282.48</v>
      </c>
      <c r="M21" s="116">
        <f t="shared" si="9"/>
        <v>80382.48000000001</v>
      </c>
      <c r="N21" s="116">
        <f t="shared" si="9"/>
        <v>313730.84000000003</v>
      </c>
      <c r="O21" s="116">
        <f t="shared" si="9"/>
        <v>67560.84</v>
      </c>
      <c r="P21" s="116">
        <f t="shared" si="9"/>
        <v>78760.84</v>
      </c>
      <c r="Q21" s="116">
        <f>SUM(Q23:Q40)</f>
        <v>175780.37</v>
      </c>
      <c r="R21" s="122">
        <v>118757.43</v>
      </c>
      <c r="S21" s="122">
        <f>SUM(S23:S39)</f>
        <v>1877270.8</v>
      </c>
      <c r="T21" s="108">
        <f>S21-R21</f>
        <v>1758513.37</v>
      </c>
    </row>
    <row r="22" spans="1:20" ht="31.5" x14ac:dyDescent="0.25">
      <c r="B22" s="123" t="s">
        <v>200</v>
      </c>
      <c r="C22" s="123"/>
      <c r="D22" s="122"/>
      <c r="E22" s="122"/>
      <c r="F22" s="116"/>
      <c r="G22" s="116"/>
      <c r="H22" s="116"/>
      <c r="I22" s="116">
        <v>10000</v>
      </c>
      <c r="J22" s="116"/>
      <c r="K22" s="116"/>
      <c r="L22" s="116"/>
      <c r="M22" s="116"/>
      <c r="N22" s="116"/>
      <c r="O22" s="116"/>
      <c r="P22" s="116"/>
      <c r="Q22" s="116"/>
      <c r="R22" s="120" t="e">
        <f>Лист4!#REF!</f>
        <v>#REF!</v>
      </c>
      <c r="S22" s="122"/>
    </row>
    <row r="23" spans="1:20" x14ac:dyDescent="0.25">
      <c r="A23" s="137"/>
      <c r="B23" s="136" t="s">
        <v>167</v>
      </c>
      <c r="C23" s="136">
        <v>244</v>
      </c>
      <c r="D23" s="137">
        <v>225</v>
      </c>
      <c r="E23" s="137">
        <f t="shared" si="1"/>
        <v>7086.6</v>
      </c>
      <c r="F23" s="138"/>
      <c r="G23" s="138">
        <f>590.5+590.5</f>
        <v>1181</v>
      </c>
      <c r="H23" s="138">
        <v>590.5</v>
      </c>
      <c r="I23" s="138">
        <v>590.5</v>
      </c>
      <c r="J23" s="138">
        <v>590.5</v>
      </c>
      <c r="K23" s="138">
        <v>590.5</v>
      </c>
      <c r="L23" s="138">
        <v>590.5</v>
      </c>
      <c r="M23" s="138">
        <v>590.5</v>
      </c>
      <c r="N23" s="138">
        <v>590.5</v>
      </c>
      <c r="O23" s="138">
        <v>590.5</v>
      </c>
      <c r="P23" s="138">
        <v>590.5</v>
      </c>
      <c r="Q23" s="138">
        <v>591.1</v>
      </c>
      <c r="R23" s="108" t="e">
        <f>Лист4!#REF!</f>
        <v>#REF!</v>
      </c>
      <c r="S23" s="108">
        <v>9448.7999999999993</v>
      </c>
      <c r="T23" s="108" t="e">
        <f t="shared" si="8"/>
        <v>#REF!</v>
      </c>
    </row>
    <row r="24" spans="1:20" x14ac:dyDescent="0.25">
      <c r="A24" s="137"/>
      <c r="B24" s="136" t="s">
        <v>168</v>
      </c>
      <c r="C24" s="136">
        <v>244</v>
      </c>
      <c r="D24" s="137">
        <v>225</v>
      </c>
      <c r="E24" s="137">
        <f t="shared" si="1"/>
        <v>87000</v>
      </c>
      <c r="F24" s="138"/>
      <c r="G24" s="138">
        <v>7250</v>
      </c>
      <c r="H24" s="138">
        <v>7250</v>
      </c>
      <c r="I24" s="138">
        <v>7250</v>
      </c>
      <c r="J24" s="138">
        <v>7250</v>
      </c>
      <c r="K24" s="138">
        <v>7250</v>
      </c>
      <c r="L24" s="138">
        <v>7250</v>
      </c>
      <c r="M24" s="138">
        <v>7250</v>
      </c>
      <c r="N24" s="138">
        <v>7250</v>
      </c>
      <c r="O24" s="138">
        <v>7250</v>
      </c>
      <c r="P24" s="138">
        <v>7250</v>
      </c>
      <c r="Q24" s="138">
        <f>7250+7250</f>
        <v>14500</v>
      </c>
      <c r="R24" s="108" t="e">
        <f>Лист4!#REF!+Лист4!#REF!+Лист4!#REF!+Лист4!#REF!+Лист4!#REF!</f>
        <v>#REF!</v>
      </c>
      <c r="S24" s="108">
        <v>95592</v>
      </c>
      <c r="T24" s="108" t="e">
        <f t="shared" si="8"/>
        <v>#REF!</v>
      </c>
    </row>
    <row r="25" spans="1:20" x14ac:dyDescent="0.25">
      <c r="B25" s="110" t="s">
        <v>169</v>
      </c>
      <c r="C25" s="110">
        <v>244</v>
      </c>
      <c r="D25" s="108">
        <v>225</v>
      </c>
      <c r="E25" s="108">
        <f t="shared" si="1"/>
        <v>53000</v>
      </c>
      <c r="F25" s="119"/>
      <c r="G25" s="119"/>
      <c r="H25" s="119"/>
      <c r="I25" s="119"/>
      <c r="J25" s="119"/>
      <c r="K25" s="119"/>
      <c r="L25" s="119"/>
      <c r="M25" s="119"/>
      <c r="N25" s="119"/>
      <c r="O25" s="119"/>
      <c r="P25" s="131"/>
      <c r="Q25" s="131">
        <v>53000</v>
      </c>
      <c r="R25" s="108" t="e">
        <f>Лист4!#REF!+Лист4!#REF!</f>
        <v>#REF!</v>
      </c>
      <c r="S25" s="108">
        <v>53000</v>
      </c>
      <c r="T25" s="108" t="e">
        <f t="shared" si="8"/>
        <v>#REF!</v>
      </c>
    </row>
    <row r="26" spans="1:20" s="137" customFormat="1" x14ac:dyDescent="0.25">
      <c r="B26" s="136" t="s">
        <v>170</v>
      </c>
      <c r="C26" s="136">
        <v>244</v>
      </c>
      <c r="D26" s="137">
        <v>226</v>
      </c>
      <c r="E26" s="137">
        <f t="shared" si="1"/>
        <v>40000</v>
      </c>
      <c r="F26" s="138"/>
      <c r="G26" s="138"/>
      <c r="H26" s="138">
        <v>34000</v>
      </c>
      <c r="I26" s="138"/>
      <c r="J26" s="138"/>
      <c r="K26" s="138"/>
      <c r="L26" s="138"/>
      <c r="M26" s="138"/>
      <c r="N26" s="138"/>
      <c r="O26" s="138">
        <v>6000</v>
      </c>
      <c r="P26" s="138"/>
      <c r="Q26" s="138"/>
      <c r="S26" s="139">
        <v>20000</v>
      </c>
      <c r="T26" s="137">
        <f t="shared" si="8"/>
        <v>20000</v>
      </c>
    </row>
    <row r="27" spans="1:20" s="137" customFormat="1" x14ac:dyDescent="0.25">
      <c r="B27" s="135" t="s">
        <v>171</v>
      </c>
      <c r="C27" s="136">
        <v>244</v>
      </c>
      <c r="D27" s="137">
        <v>226</v>
      </c>
      <c r="E27" s="137">
        <f t="shared" si="1"/>
        <v>80850</v>
      </c>
      <c r="F27" s="138"/>
      <c r="G27" s="138"/>
      <c r="H27" s="138"/>
      <c r="I27" s="138"/>
      <c r="J27" s="138"/>
      <c r="K27" s="138"/>
      <c r="L27" s="138"/>
      <c r="M27" s="138"/>
      <c r="N27" s="138">
        <v>80850</v>
      </c>
      <c r="O27" s="138"/>
      <c r="P27" s="138"/>
      <c r="Q27" s="138"/>
      <c r="R27" s="142" t="e">
        <f>Лист4!#REF!</f>
        <v>#REF!</v>
      </c>
      <c r="S27" s="139">
        <v>80850</v>
      </c>
      <c r="T27" s="137" t="e">
        <f t="shared" si="8"/>
        <v>#REF!</v>
      </c>
    </row>
    <row r="28" spans="1:20" s="137" customFormat="1" x14ac:dyDescent="0.25">
      <c r="B28" s="136" t="s">
        <v>168</v>
      </c>
      <c r="C28" s="136">
        <v>244</v>
      </c>
      <c r="D28" s="137">
        <v>226</v>
      </c>
      <c r="E28" s="137">
        <f t="shared" si="1"/>
        <v>404783.3600000001</v>
      </c>
      <c r="F28" s="138"/>
      <c r="G28" s="138">
        <v>33733.33</v>
      </c>
      <c r="H28" s="138">
        <f t="shared" ref="H28:P28" si="10">G28</f>
        <v>33733.33</v>
      </c>
      <c r="I28" s="138">
        <f t="shared" si="10"/>
        <v>33733.33</v>
      </c>
      <c r="J28" s="138">
        <f t="shared" si="10"/>
        <v>33733.33</v>
      </c>
      <c r="K28" s="138">
        <f t="shared" si="10"/>
        <v>33733.33</v>
      </c>
      <c r="L28" s="138">
        <f t="shared" si="10"/>
        <v>33733.33</v>
      </c>
      <c r="M28" s="138">
        <f t="shared" si="10"/>
        <v>33733.33</v>
      </c>
      <c r="N28" s="138">
        <f t="shared" si="10"/>
        <v>33733.33</v>
      </c>
      <c r="O28" s="138">
        <f t="shared" si="10"/>
        <v>33733.33</v>
      </c>
      <c r="P28" s="138">
        <f t="shared" si="10"/>
        <v>33733.33</v>
      </c>
      <c r="Q28" s="138">
        <f>33718-1.27+33733.33</f>
        <v>67450.06</v>
      </c>
      <c r="R28" s="140">
        <f>E28</f>
        <v>404783.3600000001</v>
      </c>
      <c r="S28" s="141">
        <v>1020000</v>
      </c>
      <c r="T28" s="137">
        <f t="shared" si="8"/>
        <v>615216.6399999999</v>
      </c>
    </row>
    <row r="29" spans="1:20" x14ac:dyDescent="0.25">
      <c r="B29" s="110" t="s">
        <v>172</v>
      </c>
      <c r="C29" s="110">
        <v>244</v>
      </c>
      <c r="D29" s="108">
        <v>226</v>
      </c>
      <c r="E29" s="108">
        <f t="shared" si="1"/>
        <v>34522.979999999996</v>
      </c>
      <c r="F29" s="119"/>
      <c r="G29" s="119">
        <v>6114.54</v>
      </c>
      <c r="H29" s="119">
        <v>4937.6400000000003</v>
      </c>
      <c r="I29" s="119">
        <v>0</v>
      </c>
      <c r="J29" s="119">
        <v>0</v>
      </c>
      <c r="K29" s="119">
        <v>5000</v>
      </c>
      <c r="L29" s="119"/>
      <c r="M29" s="119"/>
      <c r="N29" s="119"/>
      <c r="O29" s="119"/>
      <c r="P29" s="119"/>
      <c r="Q29" s="119">
        <f>1900+1570.8+5000+10000</f>
        <v>18470.8</v>
      </c>
      <c r="S29" s="124">
        <v>40000</v>
      </c>
      <c r="T29" s="108">
        <f t="shared" si="8"/>
        <v>40000</v>
      </c>
    </row>
    <row r="30" spans="1:20" s="137" customFormat="1" x14ac:dyDescent="0.25">
      <c r="B30" s="136" t="s">
        <v>173</v>
      </c>
      <c r="C30" s="136">
        <v>244</v>
      </c>
      <c r="D30" s="137">
        <v>226</v>
      </c>
      <c r="E30" s="137">
        <f t="shared" si="1"/>
        <v>38792.599999999991</v>
      </c>
      <c r="F30" s="138"/>
      <c r="G30" s="138">
        <f>3232.6+3232.6</f>
        <v>6465.2</v>
      </c>
      <c r="H30" s="138">
        <v>3232.6</v>
      </c>
      <c r="I30" s="138">
        <v>3232.6</v>
      </c>
      <c r="J30" s="138">
        <v>3232.6</v>
      </c>
      <c r="K30" s="138">
        <v>3232.6</v>
      </c>
      <c r="L30" s="138">
        <v>3232.6</v>
      </c>
      <c r="M30" s="138">
        <v>3232.6</v>
      </c>
      <c r="N30" s="138">
        <v>3232.6</v>
      </c>
      <c r="O30" s="138">
        <v>3232.6</v>
      </c>
      <c r="P30" s="138">
        <v>3232.6</v>
      </c>
      <c r="Q30" s="138">
        <v>3234</v>
      </c>
      <c r="R30" s="137">
        <v>38792</v>
      </c>
      <c r="S30" s="137">
        <v>48000</v>
      </c>
      <c r="T30" s="137">
        <f t="shared" si="8"/>
        <v>9208</v>
      </c>
    </row>
    <row r="31" spans="1:20" s="137" customFormat="1" x14ac:dyDescent="0.25">
      <c r="B31" s="136" t="s">
        <v>174</v>
      </c>
      <c r="C31" s="136">
        <v>244</v>
      </c>
      <c r="D31" s="137">
        <v>226</v>
      </c>
      <c r="E31" s="137">
        <f t="shared" si="1"/>
        <v>7200</v>
      </c>
      <c r="F31" s="138"/>
      <c r="G31" s="138"/>
      <c r="H31" s="138"/>
      <c r="I31" s="138"/>
      <c r="J31" s="138"/>
      <c r="K31" s="138"/>
      <c r="L31" s="138"/>
      <c r="M31" s="138"/>
      <c r="N31" s="138"/>
      <c r="O31" s="138"/>
      <c r="P31" s="138">
        <v>7200</v>
      </c>
      <c r="Q31" s="138"/>
      <c r="R31" s="137">
        <v>7200</v>
      </c>
      <c r="S31" s="139">
        <v>7200</v>
      </c>
      <c r="T31" s="137">
        <f t="shared" si="8"/>
        <v>0</v>
      </c>
    </row>
    <row r="32" spans="1:20" x14ac:dyDescent="0.25">
      <c r="B32" s="110" t="s">
        <v>175</v>
      </c>
      <c r="C32" s="110">
        <v>244</v>
      </c>
      <c r="D32" s="108">
        <v>226</v>
      </c>
      <c r="E32" s="108">
        <f t="shared" si="1"/>
        <v>11856.3</v>
      </c>
      <c r="F32" s="119"/>
      <c r="G32" s="119"/>
      <c r="H32" s="119"/>
      <c r="I32" s="119"/>
      <c r="J32" s="119"/>
      <c r="K32" s="119"/>
      <c r="L32" s="119">
        <v>1976.05</v>
      </c>
      <c r="M32" s="119">
        <v>1976.05</v>
      </c>
      <c r="N32" s="119">
        <v>1976.05</v>
      </c>
      <c r="O32" s="119">
        <v>1976.05</v>
      </c>
      <c r="P32" s="119">
        <v>1976.05</v>
      </c>
      <c r="Q32" s="119">
        <v>1976.05</v>
      </c>
      <c r="R32" s="108">
        <v>33600</v>
      </c>
      <c r="S32" s="124">
        <v>38000</v>
      </c>
      <c r="T32" s="108">
        <f t="shared" si="8"/>
        <v>4400</v>
      </c>
    </row>
    <row r="33" spans="2:20" x14ac:dyDescent="0.25">
      <c r="B33" s="110" t="s">
        <v>202</v>
      </c>
      <c r="C33" s="110">
        <v>244</v>
      </c>
      <c r="D33" s="108">
        <v>226</v>
      </c>
      <c r="E33" s="108">
        <f t="shared" si="1"/>
        <v>133005.24</v>
      </c>
      <c r="F33" s="119"/>
      <c r="G33" s="119">
        <v>14778.36</v>
      </c>
      <c r="H33" s="119">
        <v>14778.36</v>
      </c>
      <c r="I33" s="119">
        <v>14778.36</v>
      </c>
      <c r="J33" s="119">
        <v>14778.36</v>
      </c>
      <c r="K33" s="119">
        <v>14778.36</v>
      </c>
      <c r="L33" s="119"/>
      <c r="M33" s="119"/>
      <c r="N33" s="119">
        <v>14778.36</v>
      </c>
      <c r="O33" s="119">
        <v>14778.36</v>
      </c>
      <c r="P33" s="119">
        <v>14778.36</v>
      </c>
      <c r="Q33" s="119">
        <v>14778.36</v>
      </c>
      <c r="S33" s="124"/>
    </row>
    <row r="34" spans="2:20" x14ac:dyDescent="0.25">
      <c r="B34" s="110" t="s">
        <v>176</v>
      </c>
      <c r="C34" s="110">
        <v>244</v>
      </c>
      <c r="D34" s="108">
        <v>226</v>
      </c>
      <c r="E34" s="108">
        <f t="shared" si="1"/>
        <v>0</v>
      </c>
      <c r="F34" s="119"/>
      <c r="G34" s="119"/>
      <c r="H34" s="119"/>
      <c r="I34" s="119"/>
      <c r="J34" s="119"/>
      <c r="K34" s="119"/>
      <c r="L34" s="119"/>
      <c r="M34" s="119"/>
      <c r="N34" s="119"/>
      <c r="O34" s="119"/>
      <c r="P34" s="119"/>
      <c r="Q34" s="119"/>
      <c r="R34" s="108">
        <v>85000</v>
      </c>
      <c r="S34" s="124">
        <v>85000</v>
      </c>
      <c r="T34" s="108">
        <f t="shared" si="8"/>
        <v>0</v>
      </c>
    </row>
    <row r="35" spans="2:20" s="137" customFormat="1" x14ac:dyDescent="0.25">
      <c r="B35" s="136" t="s">
        <v>177</v>
      </c>
      <c r="C35" s="136">
        <v>244</v>
      </c>
      <c r="D35" s="137">
        <v>226</v>
      </c>
      <c r="E35" s="137">
        <f t="shared" si="1"/>
        <v>111360</v>
      </c>
      <c r="F35" s="138"/>
      <c r="G35" s="138"/>
      <c r="H35" s="138"/>
      <c r="I35" s="138"/>
      <c r="J35" s="138"/>
      <c r="K35" s="138"/>
      <c r="L35" s="138"/>
      <c r="M35" s="138"/>
      <c r="N35" s="138">
        <v>111360</v>
      </c>
      <c r="O35" s="138"/>
      <c r="P35" s="138"/>
      <c r="Q35" s="138"/>
      <c r="R35" s="137">
        <v>334080</v>
      </c>
      <c r="S35" s="139">
        <v>334080</v>
      </c>
      <c r="T35" s="137">
        <f t="shared" si="8"/>
        <v>0</v>
      </c>
    </row>
    <row r="36" spans="2:20" x14ac:dyDescent="0.25">
      <c r="B36" s="110" t="s">
        <v>180</v>
      </c>
      <c r="C36" s="110">
        <v>244</v>
      </c>
      <c r="D36" s="108">
        <v>226</v>
      </c>
      <c r="E36" s="108">
        <f t="shared" si="1"/>
        <v>0</v>
      </c>
      <c r="F36" s="119"/>
      <c r="G36" s="119"/>
      <c r="H36" s="119"/>
      <c r="I36" s="119"/>
      <c r="J36" s="119"/>
      <c r="K36" s="119"/>
      <c r="L36" s="119"/>
      <c r="M36" s="119">
        <v>0</v>
      </c>
      <c r="N36" s="119"/>
      <c r="O36" s="119"/>
      <c r="P36" s="119"/>
      <c r="Q36" s="119"/>
      <c r="R36" s="108">
        <v>33600</v>
      </c>
      <c r="S36" s="124">
        <v>33600</v>
      </c>
      <c r="T36" s="108">
        <f t="shared" si="8"/>
        <v>0</v>
      </c>
    </row>
    <row r="37" spans="2:20" x14ac:dyDescent="0.25">
      <c r="B37" s="110" t="s">
        <v>178</v>
      </c>
      <c r="C37" s="110">
        <v>244</v>
      </c>
      <c r="D37" s="108">
        <v>226</v>
      </c>
      <c r="E37" s="108">
        <f t="shared" si="1"/>
        <v>10000</v>
      </c>
      <c r="F37" s="119"/>
      <c r="G37" s="119"/>
      <c r="H37" s="119"/>
      <c r="I37" s="119"/>
      <c r="J37" s="119"/>
      <c r="K37" s="119"/>
      <c r="L37" s="119"/>
      <c r="M37" s="119"/>
      <c r="N37" s="119"/>
      <c r="O37" s="119"/>
      <c r="P37" s="119">
        <v>10000</v>
      </c>
      <c r="Q37" s="119"/>
      <c r="R37" s="108">
        <v>10000</v>
      </c>
      <c r="S37" s="124">
        <v>10000</v>
      </c>
      <c r="T37" s="108">
        <f t="shared" si="8"/>
        <v>0</v>
      </c>
    </row>
    <row r="38" spans="2:20" x14ac:dyDescent="0.25">
      <c r="B38" s="130" t="s">
        <v>199</v>
      </c>
      <c r="C38" s="110">
        <v>244</v>
      </c>
      <c r="D38" s="108">
        <v>226</v>
      </c>
      <c r="E38" s="108">
        <f t="shared" si="1"/>
        <v>260600</v>
      </c>
      <c r="F38" s="119"/>
      <c r="G38" s="119">
        <v>0</v>
      </c>
      <c r="H38" s="119"/>
      <c r="I38" s="119"/>
      <c r="J38" s="119"/>
      <c r="K38" s="132">
        <v>167040</v>
      </c>
      <c r="L38" s="131"/>
      <c r="M38" s="119">
        <v>33600</v>
      </c>
      <c r="N38" s="131">
        <v>59960</v>
      </c>
      <c r="O38" s="119"/>
      <c r="P38" s="119"/>
      <c r="Q38" s="119"/>
      <c r="S38" s="124"/>
    </row>
    <row r="39" spans="2:20" x14ac:dyDescent="0.25">
      <c r="B39" s="110" t="s">
        <v>179</v>
      </c>
      <c r="C39" s="110">
        <v>853</v>
      </c>
      <c r="D39" s="108">
        <v>290</v>
      </c>
      <c r="E39" s="108">
        <f t="shared" si="1"/>
        <v>5000</v>
      </c>
      <c r="F39" s="119"/>
      <c r="G39" s="119"/>
      <c r="H39" s="119"/>
      <c r="I39" s="119"/>
      <c r="J39" s="119"/>
      <c r="K39" s="131">
        <v>720</v>
      </c>
      <c r="L39" s="131">
        <v>2500</v>
      </c>
      <c r="M39" s="119"/>
      <c r="N39" s="119"/>
      <c r="O39" s="119"/>
      <c r="P39" s="119"/>
      <c r="Q39" s="131">
        <v>1780</v>
      </c>
      <c r="R39" s="108">
        <v>2500</v>
      </c>
      <c r="S39" s="124">
        <v>2500</v>
      </c>
      <c r="T39" s="108">
        <f t="shared" si="8"/>
        <v>0</v>
      </c>
    </row>
    <row r="40" spans="2:20" x14ac:dyDescent="0.25">
      <c r="E40" s="108">
        <f t="shared" si="1"/>
        <v>0</v>
      </c>
      <c r="F40" s="119"/>
      <c r="G40" s="119"/>
      <c r="H40" s="119"/>
      <c r="I40" s="119"/>
      <c r="J40" s="119"/>
      <c r="K40" s="119"/>
      <c r="L40" s="119"/>
      <c r="M40" s="119"/>
      <c r="N40" s="119"/>
      <c r="O40" s="119"/>
      <c r="P40" s="119"/>
      <c r="Q40" s="129"/>
      <c r="S40" s="124"/>
    </row>
    <row r="41" spans="2:20" x14ac:dyDescent="0.25">
      <c r="B41" s="123" t="e">
        <f>Лист4!#REF!</f>
        <v>#REF!</v>
      </c>
      <c r="C41" s="123" t="s">
        <v>188</v>
      </c>
      <c r="D41" s="122">
        <v>310</v>
      </c>
      <c r="E41" s="122">
        <f t="shared" si="1"/>
        <v>536714.64</v>
      </c>
      <c r="F41" s="116"/>
      <c r="G41" s="116"/>
      <c r="H41" s="116"/>
      <c r="I41" s="116"/>
      <c r="J41" s="116"/>
      <c r="K41" s="116">
        <v>526714.64</v>
      </c>
      <c r="L41" s="116"/>
      <c r="M41" s="116">
        <v>10000</v>
      </c>
      <c r="N41" s="116"/>
      <c r="O41" s="116"/>
      <c r="P41" s="116"/>
      <c r="Q41" s="116"/>
      <c r="R41" s="108">
        <v>10000</v>
      </c>
      <c r="S41" s="118" t="e">
        <f>Лист4!#REF!</f>
        <v>#REF!</v>
      </c>
      <c r="T41" s="108" t="e">
        <f t="shared" si="8"/>
        <v>#REF!</v>
      </c>
    </row>
    <row r="42" spans="2:20" x14ac:dyDescent="0.25">
      <c r="B42" s="111" t="e">
        <f>Лист4!#REF!</f>
        <v>#REF!</v>
      </c>
      <c r="C42" s="111" t="s">
        <v>189</v>
      </c>
      <c r="D42" s="108">
        <v>340</v>
      </c>
      <c r="E42" s="108">
        <f t="shared" si="1"/>
        <v>282587</v>
      </c>
      <c r="F42" s="116"/>
      <c r="G42" s="116">
        <v>30000</v>
      </c>
      <c r="H42" s="116">
        <v>142330</v>
      </c>
      <c r="I42" s="116">
        <v>45000</v>
      </c>
      <c r="J42" s="116">
        <f>198000-175825+21222</f>
        <v>43397</v>
      </c>
      <c r="K42" s="116">
        <f>63365-41505</f>
        <v>21860</v>
      </c>
      <c r="L42" s="116"/>
      <c r="M42" s="116"/>
      <c r="N42" s="116"/>
      <c r="O42" s="116"/>
      <c r="P42" s="116"/>
      <c r="Q42" s="116"/>
      <c r="R42" s="108">
        <v>261365</v>
      </c>
      <c r="S42" s="117" t="e">
        <f>Лист4!#REF!</f>
        <v>#REF!</v>
      </c>
    </row>
    <row r="43" spans="2:20" x14ac:dyDescent="0.25">
      <c r="E43" s="108">
        <f t="shared" si="1"/>
        <v>0</v>
      </c>
      <c r="F43" s="119"/>
      <c r="G43" s="119"/>
      <c r="H43" s="119"/>
      <c r="I43" s="119"/>
      <c r="J43" s="119"/>
      <c r="K43" s="119"/>
      <c r="L43" s="119"/>
      <c r="M43" s="119"/>
      <c r="N43" s="119"/>
      <c r="O43" s="119"/>
      <c r="P43" s="119"/>
      <c r="Q43" s="119"/>
      <c r="T43" s="108">
        <v>1877270.8</v>
      </c>
    </row>
    <row r="44" spans="2:20" x14ac:dyDescent="0.25">
      <c r="E44" s="108">
        <f t="shared" si="1"/>
        <v>0</v>
      </c>
      <c r="F44" s="109"/>
      <c r="G44" s="109"/>
      <c r="H44" s="109"/>
      <c r="I44" s="109"/>
      <c r="J44" s="109"/>
      <c r="K44" s="109"/>
      <c r="L44" s="109"/>
      <c r="M44" s="109"/>
      <c r="N44" s="109"/>
      <c r="O44" s="109"/>
      <c r="P44" s="109"/>
      <c r="Q44" s="109"/>
      <c r="T44" s="108">
        <f>T43-E21-21222</f>
        <v>570991.72</v>
      </c>
    </row>
    <row r="45" spans="2:20" x14ac:dyDescent="0.25">
      <c r="E45" s="108">
        <f t="shared" si="1"/>
        <v>791397.5199999999</v>
      </c>
      <c r="O45" s="108">
        <v>1339334.1599999999</v>
      </c>
      <c r="Q45" s="108">
        <v>-547936.64</v>
      </c>
      <c r="S45" s="108">
        <f>666694.07-472432.07</f>
        <v>194261.99999999994</v>
      </c>
    </row>
    <row r="46" spans="2:20" x14ac:dyDescent="0.25">
      <c r="E46" s="108">
        <f t="shared" si="1"/>
        <v>1597136.4500000002</v>
      </c>
      <c r="H46" s="108">
        <f>69522.43-45522.43</f>
        <v>23999.999999999993</v>
      </c>
      <c r="I46" s="108">
        <v>115044.85999999999</v>
      </c>
      <c r="M46" s="108">
        <f>666694.07+Q45</f>
        <v>118757.42999999993</v>
      </c>
      <c r="P46" s="108">
        <f>1887270.8+Q45</f>
        <v>1339334.1600000001</v>
      </c>
    </row>
    <row r="47" spans="2:20" x14ac:dyDescent="0.25">
      <c r="O47" s="108">
        <f>E21-O45</f>
        <v>-54277.079999999842</v>
      </c>
      <c r="P47" s="108">
        <f>21160/12</f>
        <v>1763.3333333333333</v>
      </c>
      <c r="Q47" s="108">
        <f>7086/12</f>
        <v>590.5</v>
      </c>
      <c r="R47" s="108">
        <f>2500+1726730+158040.8</f>
        <v>1887270.8</v>
      </c>
      <c r="S47" s="114" t="e">
        <f>S4+S5+S7+S8+S9+S14+S15+S21+S41+S42</f>
        <v>#REF!</v>
      </c>
      <c r="T47" s="108" t="e">
        <f>T24-1726730</f>
        <v>#REF!</v>
      </c>
    </row>
    <row r="48" spans="2:20" x14ac:dyDescent="0.25">
      <c r="K48" s="108">
        <f>E39-15000</f>
        <v>-10000</v>
      </c>
      <c r="Q48" s="108">
        <f>404800*12</f>
        <v>4857600</v>
      </c>
      <c r="R48" s="125" t="e">
        <f>S42-E42</f>
        <v>#REF!</v>
      </c>
      <c r="S48" s="125">
        <v>20834225</v>
      </c>
    </row>
    <row r="49" spans="11:19" x14ac:dyDescent="0.25">
      <c r="P49" s="108">
        <f>404800/12</f>
        <v>33733.333333333336</v>
      </c>
      <c r="S49" s="114" t="e">
        <f>S48-S47</f>
        <v>#REF!</v>
      </c>
    </row>
    <row r="50" spans="11:19" x14ac:dyDescent="0.25">
      <c r="K50" s="108">
        <f>S28-615216.64</f>
        <v>404783.35999999999</v>
      </c>
      <c r="L50" s="108">
        <f>R28-K50</f>
        <v>0</v>
      </c>
    </row>
  </sheetData>
  <autoFilter ref="C3:C49"/>
  <pageMargins left="0.31496062992125984" right="0.31496062992125984" top="0.74803149606299213" bottom="0.74803149606299213" header="0.11811023622047245"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36"/>
  <sheetViews>
    <sheetView topLeftCell="A18" workbookViewId="0">
      <selection sqref="A1:K34"/>
    </sheetView>
  </sheetViews>
  <sheetFormatPr defaultColWidth="8.85546875" defaultRowHeight="15" x14ac:dyDescent="0.25"/>
  <cols>
    <col min="1" max="1" width="46.7109375" style="96" customWidth="1"/>
    <col min="2" max="2" width="14.7109375" style="240" customWidth="1"/>
    <col min="3" max="3" width="14.7109375" style="97" customWidth="1"/>
    <col min="4" max="4" width="15.7109375" style="95" customWidth="1"/>
    <col min="5" max="5" width="16.7109375" style="95" customWidth="1"/>
    <col min="6" max="6" width="15.85546875" style="95" customWidth="1"/>
    <col min="7" max="9" width="15.7109375" style="95" customWidth="1"/>
    <col min="10" max="10" width="9" style="18" hidden="1" customWidth="1"/>
    <col min="11" max="11" width="13.7109375" style="18" hidden="1" customWidth="1"/>
    <col min="12" max="12" width="8.85546875" style="95"/>
    <col min="13" max="13" width="11.7109375" style="95" bestFit="1" customWidth="1"/>
    <col min="14" max="15" width="8.85546875" style="95"/>
    <col min="16" max="16" width="10" style="95" bestFit="1" customWidth="1"/>
    <col min="17" max="16384" width="8.85546875" style="95"/>
  </cols>
  <sheetData>
    <row r="1" spans="1:16" ht="15.75" x14ac:dyDescent="0.25">
      <c r="A1" s="773" t="s">
        <v>443</v>
      </c>
      <c r="B1" s="774"/>
      <c r="C1" s="774"/>
      <c r="D1" s="774"/>
      <c r="E1" s="774"/>
      <c r="F1" s="774"/>
      <c r="G1" s="774"/>
      <c r="H1" s="774"/>
      <c r="I1" s="774"/>
    </row>
    <row r="2" spans="1:16" ht="15.75" x14ac:dyDescent="0.25">
      <c r="A2" s="775" t="s">
        <v>0</v>
      </c>
      <c r="B2" s="775" t="s">
        <v>16</v>
      </c>
      <c r="C2" s="777" t="s">
        <v>14</v>
      </c>
      <c r="D2" s="778" t="s">
        <v>450</v>
      </c>
      <c r="E2" s="778"/>
      <c r="F2" s="778"/>
      <c r="G2" s="778"/>
      <c r="H2" s="778"/>
      <c r="I2" s="778"/>
      <c r="J2" s="778"/>
      <c r="K2" s="778"/>
    </row>
    <row r="3" spans="1:16" ht="15" customHeight="1" x14ac:dyDescent="0.25">
      <c r="A3" s="775"/>
      <c r="B3" s="775"/>
      <c r="C3" s="777"/>
      <c r="D3" s="779" t="s">
        <v>395</v>
      </c>
      <c r="E3" s="775"/>
      <c r="F3" s="775" t="s">
        <v>425</v>
      </c>
      <c r="G3" s="775"/>
      <c r="H3" s="775" t="s">
        <v>511</v>
      </c>
      <c r="I3" s="775"/>
      <c r="J3" s="776" t="s">
        <v>449</v>
      </c>
      <c r="K3" s="776"/>
    </row>
    <row r="4" spans="1:16" x14ac:dyDescent="0.25">
      <c r="A4" s="775"/>
      <c r="B4" s="775"/>
      <c r="C4" s="777"/>
      <c r="D4" s="780" t="s">
        <v>444</v>
      </c>
      <c r="E4" s="781"/>
      <c r="F4" s="782" t="s">
        <v>447</v>
      </c>
      <c r="G4" s="783"/>
      <c r="H4" s="775" t="s">
        <v>448</v>
      </c>
      <c r="I4" s="775"/>
      <c r="J4" s="776"/>
      <c r="K4" s="776"/>
    </row>
    <row r="5" spans="1:16" ht="63.75" customHeight="1" x14ac:dyDescent="0.25">
      <c r="A5" s="775"/>
      <c r="B5" s="775"/>
      <c r="C5" s="777"/>
      <c r="D5" s="241" t="s">
        <v>445</v>
      </c>
      <c r="E5" s="12" t="s">
        <v>446</v>
      </c>
      <c r="F5" s="239" t="s">
        <v>445</v>
      </c>
      <c r="G5" s="12" t="s">
        <v>446</v>
      </c>
      <c r="H5" s="239" t="s">
        <v>445</v>
      </c>
      <c r="I5" s="12" t="s">
        <v>446</v>
      </c>
      <c r="J5" s="244" t="s">
        <v>445</v>
      </c>
      <c r="K5" s="245" t="s">
        <v>446</v>
      </c>
    </row>
    <row r="6" spans="1:16" s="212" customFormat="1" ht="31.5" x14ac:dyDescent="0.25">
      <c r="A6" s="15" t="s">
        <v>452</v>
      </c>
      <c r="B6" s="243" t="s">
        <v>451</v>
      </c>
      <c r="C6" s="246"/>
      <c r="D6" s="210"/>
      <c r="E6" s="210">
        <v>39874.51</v>
      </c>
      <c r="F6" s="210"/>
      <c r="G6" s="210"/>
      <c r="H6" s="210"/>
      <c r="I6" s="210"/>
      <c r="J6" s="64" t="s">
        <v>475</v>
      </c>
      <c r="K6" s="64" t="s">
        <v>475</v>
      </c>
      <c r="M6" s="213"/>
    </row>
    <row r="7" spans="1:16" s="212" customFormat="1" ht="31.5" x14ac:dyDescent="0.25">
      <c r="A7" s="15" t="s">
        <v>453</v>
      </c>
      <c r="B7" s="243" t="s">
        <v>455</v>
      </c>
      <c r="C7" s="246"/>
      <c r="D7" s="210">
        <v>0</v>
      </c>
      <c r="E7" s="210"/>
      <c r="F7" s="210"/>
      <c r="G7" s="210"/>
      <c r="H7" s="210"/>
      <c r="I7" s="210"/>
      <c r="J7" s="64" t="s">
        <v>475</v>
      </c>
      <c r="K7" s="64" t="s">
        <v>475</v>
      </c>
      <c r="M7" s="213"/>
    </row>
    <row r="8" spans="1:16" s="212" customFormat="1" ht="15.75" x14ac:dyDescent="0.25">
      <c r="A8" s="429" t="s">
        <v>456</v>
      </c>
      <c r="B8" s="430" t="s">
        <v>457</v>
      </c>
      <c r="C8" s="431"/>
      <c r="D8" s="428">
        <f>D10+D13</f>
        <v>34114311.259999998</v>
      </c>
      <c r="E8" s="428">
        <f>E9+E12</f>
        <v>191367.49</v>
      </c>
      <c r="F8" s="428">
        <f>F10+F13</f>
        <v>36959181.170000002</v>
      </c>
      <c r="G8" s="428">
        <f>G9+G12</f>
        <v>224347.33</v>
      </c>
      <c r="H8" s="428">
        <f>H10+H13</f>
        <v>36959181.170000002</v>
      </c>
      <c r="I8" s="428">
        <f>I9+I12</f>
        <v>224347.33</v>
      </c>
      <c r="J8" s="64" t="s">
        <v>475</v>
      </c>
      <c r="K8" s="64" t="s">
        <v>475</v>
      </c>
      <c r="M8" s="213"/>
    </row>
    <row r="9" spans="1:16" s="212" customFormat="1" ht="63" x14ac:dyDescent="0.25">
      <c r="A9" s="15" t="s">
        <v>670</v>
      </c>
      <c r="B9" s="243" t="s">
        <v>671</v>
      </c>
      <c r="C9" s="246" t="s">
        <v>672</v>
      </c>
      <c r="D9" s="210"/>
      <c r="E9" s="210">
        <v>164042.32</v>
      </c>
      <c r="F9" s="210"/>
      <c r="G9" s="210">
        <v>83816</v>
      </c>
      <c r="H9" s="210"/>
      <c r="I9" s="210">
        <v>83816</v>
      </c>
      <c r="J9" s="64"/>
      <c r="K9" s="64"/>
      <c r="M9" s="213"/>
      <c r="P9" s="213"/>
    </row>
    <row r="10" spans="1:16" s="212" customFormat="1" ht="47.25" x14ac:dyDescent="0.25">
      <c r="A10" s="15" t="s">
        <v>460</v>
      </c>
      <c r="B10" s="243" t="s">
        <v>458</v>
      </c>
      <c r="C10" s="246" t="s">
        <v>459</v>
      </c>
      <c r="D10" s="210">
        <f>D11</f>
        <v>30626595.789999999</v>
      </c>
      <c r="E10" s="210"/>
      <c r="F10" s="210">
        <f>F11</f>
        <v>33156030.469999999</v>
      </c>
      <c r="G10" s="210"/>
      <c r="H10" s="210">
        <f>H11</f>
        <v>33156030.469999999</v>
      </c>
      <c r="I10" s="210"/>
      <c r="J10" s="64" t="s">
        <v>475</v>
      </c>
      <c r="K10" s="64" t="s">
        <v>475</v>
      </c>
      <c r="M10" s="213"/>
    </row>
    <row r="11" spans="1:16" s="212" customFormat="1" ht="47.25" x14ac:dyDescent="0.25">
      <c r="A11" s="15" t="s">
        <v>462</v>
      </c>
      <c r="B11" s="243" t="s">
        <v>461</v>
      </c>
      <c r="C11" s="246" t="s">
        <v>459</v>
      </c>
      <c r="D11" s="210">
        <f>30576595.79+50000</f>
        <v>30626595.789999999</v>
      </c>
      <c r="E11" s="210"/>
      <c r="F11" s="210">
        <f>32736030.47+100000+320000+1909320-1909320</f>
        <v>33156030.469999999</v>
      </c>
      <c r="G11" s="210"/>
      <c r="H11" s="210">
        <f>32736030.47+100000+320000+1909320-1909320</f>
        <v>33156030.469999999</v>
      </c>
      <c r="I11" s="210"/>
      <c r="J11" s="64" t="s">
        <v>475</v>
      </c>
      <c r="K11" s="64" t="s">
        <v>475</v>
      </c>
      <c r="M11" s="213"/>
    </row>
    <row r="12" spans="1:16" s="212" customFormat="1" ht="78.75" x14ac:dyDescent="0.25">
      <c r="A12" s="15" t="s">
        <v>464</v>
      </c>
      <c r="B12" s="243" t="s">
        <v>463</v>
      </c>
      <c r="C12" s="246" t="s">
        <v>459</v>
      </c>
      <c r="D12" s="210"/>
      <c r="E12" s="210">
        <v>27325.17</v>
      </c>
      <c r="F12" s="210"/>
      <c r="G12" s="210">
        <v>140531.32999999999</v>
      </c>
      <c r="H12" s="210"/>
      <c r="I12" s="210">
        <v>140531.32999999999</v>
      </c>
      <c r="J12" s="64" t="s">
        <v>475</v>
      </c>
      <c r="K12" s="64" t="s">
        <v>475</v>
      </c>
      <c r="M12" s="213"/>
    </row>
    <row r="13" spans="1:16" s="212" customFormat="1" ht="15.75" x14ac:dyDescent="0.25">
      <c r="A13" s="15" t="s">
        <v>466</v>
      </c>
      <c r="B13" s="243" t="s">
        <v>465</v>
      </c>
      <c r="C13" s="246" t="s">
        <v>964</v>
      </c>
      <c r="D13" s="210">
        <f>3447615.47-9900+50000</f>
        <v>3487715.47</v>
      </c>
      <c r="E13" s="210"/>
      <c r="F13" s="210">
        <f>1893830.7+1909320</f>
        <v>3803150.7</v>
      </c>
      <c r="G13" s="210"/>
      <c r="H13" s="210">
        <f>1893830.7+1909320</f>
        <v>3803150.7</v>
      </c>
      <c r="I13" s="210"/>
      <c r="J13" s="64" t="s">
        <v>475</v>
      </c>
      <c r="K13" s="64" t="s">
        <v>475</v>
      </c>
      <c r="M13" s="213"/>
    </row>
    <row r="14" spans="1:16" s="212" customFormat="1" ht="36.75" customHeight="1" x14ac:dyDescent="0.25">
      <c r="A14" s="15" t="s">
        <v>470</v>
      </c>
      <c r="B14" s="243" t="s">
        <v>467</v>
      </c>
      <c r="C14" s="246" t="s">
        <v>964</v>
      </c>
      <c r="D14" s="210">
        <f>D13-D15</f>
        <v>3092815.9800000004</v>
      </c>
      <c r="E14" s="210"/>
      <c r="F14" s="210">
        <f>F13-F15</f>
        <v>3408251.21</v>
      </c>
      <c r="G14" s="210"/>
      <c r="H14" s="210">
        <f>H13-H15</f>
        <v>3408251.21</v>
      </c>
      <c r="I14" s="210"/>
      <c r="J14" s="64" t="s">
        <v>475</v>
      </c>
      <c r="K14" s="64" t="s">
        <v>475</v>
      </c>
      <c r="M14" s="213"/>
    </row>
    <row r="15" spans="1:16" s="212" customFormat="1" ht="36.75" customHeight="1" x14ac:dyDescent="0.25">
      <c r="A15" s="15" t="s">
        <v>469</v>
      </c>
      <c r="B15" s="243" t="s">
        <v>468</v>
      </c>
      <c r="C15" s="246" t="s">
        <v>964</v>
      </c>
      <c r="D15" s="210">
        <v>394899.49</v>
      </c>
      <c r="E15" s="210"/>
      <c r="F15" s="210">
        <v>394899.49</v>
      </c>
      <c r="G15" s="210"/>
      <c r="H15" s="210">
        <v>394899.49</v>
      </c>
      <c r="I15" s="210"/>
      <c r="J15" s="64" t="s">
        <v>475</v>
      </c>
      <c r="K15" s="64" t="s">
        <v>475</v>
      </c>
      <c r="M15" s="213"/>
    </row>
    <row r="16" spans="1:16" ht="15.75" x14ac:dyDescent="0.25">
      <c r="A16" s="426" t="s">
        <v>471</v>
      </c>
      <c r="B16" s="424" t="s">
        <v>472</v>
      </c>
      <c r="C16" s="427" t="s">
        <v>454</v>
      </c>
      <c r="D16" s="421">
        <f>D18+D19+D21+D24+D29+D32</f>
        <v>34114311.259999998</v>
      </c>
      <c r="E16" s="421">
        <f>E29</f>
        <v>231242</v>
      </c>
      <c r="F16" s="421">
        <f>F18+F19+F21+F24+F29+F32</f>
        <v>36959181.170000002</v>
      </c>
      <c r="G16" s="421">
        <f>G29</f>
        <v>224347.33</v>
      </c>
      <c r="H16" s="422">
        <f>H18+H19+H21+H24+H29+H32</f>
        <v>36959181.170000002</v>
      </c>
      <c r="I16" s="422">
        <f>I29</f>
        <v>224347.33</v>
      </c>
      <c r="J16" s="64" t="s">
        <v>475</v>
      </c>
      <c r="K16" s="64" t="s">
        <v>475</v>
      </c>
    </row>
    <row r="17" spans="1:11" ht="15.75" x14ac:dyDescent="0.25">
      <c r="A17" s="248" t="s">
        <v>473</v>
      </c>
      <c r="B17" s="242" t="s">
        <v>474</v>
      </c>
      <c r="C17" s="247" t="s">
        <v>454</v>
      </c>
      <c r="D17" s="13"/>
      <c r="E17" s="13"/>
      <c r="F17" s="13"/>
      <c r="G17" s="13"/>
      <c r="H17" s="209"/>
      <c r="I17" s="209"/>
      <c r="J17" s="64" t="s">
        <v>475</v>
      </c>
      <c r="K17" s="64" t="s">
        <v>475</v>
      </c>
    </row>
    <row r="18" spans="1:11" ht="17.25" customHeight="1" x14ac:dyDescent="0.25">
      <c r="A18" s="249" t="s">
        <v>477</v>
      </c>
      <c r="B18" s="242" t="s">
        <v>476</v>
      </c>
      <c r="C18" s="14" t="s">
        <v>21</v>
      </c>
      <c r="D18" s="13">
        <f>19148087.06-191801.66+167254.88+38402.45+460829.49+560184.18+111766.51+11520.73+21051.22-423481.07-777755.1-10347.4+38402.46</f>
        <v>19154113.749999996</v>
      </c>
      <c r="E18" s="13"/>
      <c r="F18" s="13">
        <v>21386486.440000001</v>
      </c>
      <c r="G18" s="13"/>
      <c r="H18" s="209">
        <f>F18</f>
        <v>21386486.440000001</v>
      </c>
      <c r="I18" s="209"/>
      <c r="J18" s="64" t="s">
        <v>475</v>
      </c>
      <c r="K18" s="64" t="s">
        <v>475</v>
      </c>
    </row>
    <row r="19" spans="1:11" ht="51" customHeight="1" x14ac:dyDescent="0.25">
      <c r="A19" s="249" t="s">
        <v>478</v>
      </c>
      <c r="B19" s="242" t="s">
        <v>479</v>
      </c>
      <c r="C19" s="14" t="s">
        <v>29</v>
      </c>
      <c r="D19" s="13">
        <f>124850+343500+40000+111000-30683.66-1500+44774</f>
        <v>631940.34</v>
      </c>
      <c r="E19" s="13"/>
      <c r="F19" s="13">
        <f>124850+343500+40000+111000</f>
        <v>619350</v>
      </c>
      <c r="G19" s="13"/>
      <c r="H19" s="209">
        <f>F19</f>
        <v>619350</v>
      </c>
      <c r="I19" s="209"/>
      <c r="J19" s="64" t="s">
        <v>475</v>
      </c>
      <c r="K19" s="64" t="s">
        <v>475</v>
      </c>
    </row>
    <row r="20" spans="1:11" ht="57" customHeight="1" x14ac:dyDescent="0.25">
      <c r="A20" s="249" t="s">
        <v>482</v>
      </c>
      <c r="B20" s="242" t="s">
        <v>480</v>
      </c>
      <c r="C20" s="14" t="s">
        <v>481</v>
      </c>
      <c r="D20" s="13"/>
      <c r="E20" s="13"/>
      <c r="F20" s="13"/>
      <c r="G20" s="13"/>
      <c r="H20" s="209"/>
      <c r="I20" s="209"/>
      <c r="J20" s="64" t="s">
        <v>475</v>
      </c>
      <c r="K20" s="64" t="s">
        <v>475</v>
      </c>
    </row>
    <row r="21" spans="1:11" ht="48.75" customHeight="1" x14ac:dyDescent="0.25">
      <c r="A21" s="249" t="s">
        <v>483</v>
      </c>
      <c r="B21" s="242" t="s">
        <v>484</v>
      </c>
      <c r="C21" s="14" t="s">
        <v>33</v>
      </c>
      <c r="D21" s="13">
        <f>5749502.34-57924.11+50510.98+11597.55+139170.51+169175.62-9266.46+33753.49+3479.27+6357.47-127891.28-234882.04-3124.91+11597.54</f>
        <v>5742055.9699999988</v>
      </c>
      <c r="E21" s="13"/>
      <c r="F21" s="13">
        <v>6328858.9400000004</v>
      </c>
      <c r="G21" s="13"/>
      <c r="H21" s="209">
        <f>F21</f>
        <v>6328858.9400000004</v>
      </c>
      <c r="I21" s="209"/>
      <c r="J21" s="64" t="s">
        <v>475</v>
      </c>
      <c r="K21" s="64" t="s">
        <v>475</v>
      </c>
    </row>
    <row r="22" spans="1:11" ht="27.75" customHeight="1" x14ac:dyDescent="0.25">
      <c r="A22" s="249" t="s">
        <v>486</v>
      </c>
      <c r="B22" s="242" t="s">
        <v>485</v>
      </c>
      <c r="C22" s="14" t="s">
        <v>33</v>
      </c>
      <c r="D22" s="13"/>
      <c r="E22" s="13"/>
      <c r="F22" s="13"/>
      <c r="G22" s="13"/>
      <c r="H22" s="209"/>
      <c r="I22" s="209"/>
      <c r="J22" s="64" t="s">
        <v>475</v>
      </c>
      <c r="K22" s="64" t="s">
        <v>475</v>
      </c>
    </row>
    <row r="23" spans="1:11" ht="17.25" customHeight="1" x14ac:dyDescent="0.25">
      <c r="A23" s="249" t="s">
        <v>487</v>
      </c>
      <c r="B23" s="242" t="s">
        <v>488</v>
      </c>
      <c r="C23" s="14" t="s">
        <v>33</v>
      </c>
      <c r="D23" s="13"/>
      <c r="E23" s="13"/>
      <c r="F23" s="13"/>
      <c r="G23" s="13"/>
      <c r="H23" s="209"/>
      <c r="I23" s="209"/>
      <c r="J23" s="64" t="s">
        <v>475</v>
      </c>
      <c r="K23" s="64" t="s">
        <v>475</v>
      </c>
    </row>
    <row r="24" spans="1:11" ht="17.25" customHeight="1" x14ac:dyDescent="0.25">
      <c r="A24" s="249" t="s">
        <v>489</v>
      </c>
      <c r="B24" s="242" t="s">
        <v>490</v>
      </c>
      <c r="C24" s="14" t="s">
        <v>491</v>
      </c>
      <c r="D24" s="13">
        <v>2800</v>
      </c>
      <c r="E24" s="13"/>
      <c r="F24" s="13">
        <v>2800</v>
      </c>
      <c r="G24" s="13"/>
      <c r="H24" s="209">
        <v>2800</v>
      </c>
      <c r="I24" s="209"/>
      <c r="J24" s="64" t="s">
        <v>475</v>
      </c>
      <c r="K24" s="64" t="s">
        <v>475</v>
      </c>
    </row>
    <row r="25" spans="1:11" ht="42.75" customHeight="1" x14ac:dyDescent="0.25">
      <c r="A25" s="249" t="s">
        <v>492</v>
      </c>
      <c r="B25" s="242" t="s">
        <v>493</v>
      </c>
      <c r="C25" s="14" t="s">
        <v>420</v>
      </c>
      <c r="D25" s="13">
        <v>2000</v>
      </c>
      <c r="E25" s="13"/>
      <c r="F25" s="13">
        <v>2000</v>
      </c>
      <c r="G25" s="13"/>
      <c r="H25" s="209">
        <v>2000</v>
      </c>
      <c r="I25" s="209"/>
      <c r="J25" s="64" t="s">
        <v>475</v>
      </c>
      <c r="K25" s="64" t="s">
        <v>475</v>
      </c>
    </row>
    <row r="26" spans="1:11" ht="29.25" customHeight="1" x14ac:dyDescent="0.25">
      <c r="A26" s="249" t="s">
        <v>494</v>
      </c>
      <c r="B26" s="242" t="s">
        <v>495</v>
      </c>
      <c r="C26" s="14" t="s">
        <v>496</v>
      </c>
      <c r="D26" s="13">
        <v>800</v>
      </c>
      <c r="E26" s="13"/>
      <c r="F26" s="13">
        <v>800</v>
      </c>
      <c r="G26" s="13"/>
      <c r="H26" s="209">
        <v>800</v>
      </c>
      <c r="I26" s="209"/>
      <c r="J26" s="64" t="s">
        <v>475</v>
      </c>
      <c r="K26" s="64" t="s">
        <v>475</v>
      </c>
    </row>
    <row r="27" spans="1:11" ht="29.25" customHeight="1" x14ac:dyDescent="0.25">
      <c r="A27" s="249" t="s">
        <v>497</v>
      </c>
      <c r="B27" s="242" t="s">
        <v>498</v>
      </c>
      <c r="C27" s="14" t="s">
        <v>454</v>
      </c>
      <c r="D27" s="13"/>
      <c r="E27" s="13"/>
      <c r="F27" s="13"/>
      <c r="G27" s="13"/>
      <c r="H27" s="209"/>
      <c r="I27" s="209"/>
      <c r="J27" s="64" t="s">
        <v>475</v>
      </c>
      <c r="K27" s="64" t="s">
        <v>475</v>
      </c>
    </row>
    <row r="28" spans="1:11" ht="29.25" customHeight="1" x14ac:dyDescent="0.25">
      <c r="A28" s="249" t="s">
        <v>499</v>
      </c>
      <c r="B28" s="242" t="s">
        <v>500</v>
      </c>
      <c r="C28" s="14" t="s">
        <v>501</v>
      </c>
      <c r="D28" s="13"/>
      <c r="E28" s="13"/>
      <c r="F28" s="13"/>
      <c r="G28" s="13"/>
      <c r="H28" s="209"/>
      <c r="I28" s="209"/>
      <c r="J28" s="64" t="s">
        <v>475</v>
      </c>
      <c r="K28" s="64" t="s">
        <v>475</v>
      </c>
    </row>
    <row r="29" spans="1:11" ht="18.75" customHeight="1" x14ac:dyDescent="0.25">
      <c r="A29" s="249" t="s">
        <v>502</v>
      </c>
      <c r="B29" s="242" t="s">
        <v>503</v>
      </c>
      <c r="C29" s="14" t="s">
        <v>60</v>
      </c>
      <c r="D29" s="13">
        <f>8923916.05-200000-200000+90000+46769.18-39874.51-231242+57706+10000+130000-120000-53136.75+138548+92827.12+42220.83+405.14+1600+47430-138548-33224.63-230-77219.6-182351.7-11000-15510+6000+44750-9900+50000</f>
        <v>8369935.1299999999</v>
      </c>
      <c r="E29" s="13">
        <v>231242</v>
      </c>
      <c r="F29" s="13">
        <f>8717033.12-224347.33</f>
        <v>8492685.7899999991</v>
      </c>
      <c r="G29" s="13">
        <v>224347.33</v>
      </c>
      <c r="H29" s="209">
        <f>F29</f>
        <v>8492685.7899999991</v>
      </c>
      <c r="I29" s="209">
        <v>224347.33</v>
      </c>
      <c r="J29" s="64" t="s">
        <v>475</v>
      </c>
      <c r="K29" s="64" t="s">
        <v>475</v>
      </c>
    </row>
    <row r="30" spans="1:11" ht="18.75" customHeight="1" x14ac:dyDescent="0.25">
      <c r="A30" s="249" t="s">
        <v>504</v>
      </c>
      <c r="B30" s="242" t="s">
        <v>505</v>
      </c>
      <c r="C30" s="14" t="s">
        <v>506</v>
      </c>
      <c r="D30" s="13"/>
      <c r="E30" s="13"/>
      <c r="F30" s="13"/>
      <c r="G30" s="13"/>
      <c r="H30" s="209"/>
      <c r="I30" s="209"/>
      <c r="J30" s="64" t="s">
        <v>475</v>
      </c>
      <c r="K30" s="64" t="s">
        <v>475</v>
      </c>
    </row>
    <row r="31" spans="1:11" ht="18.75" customHeight="1" x14ac:dyDescent="0.25">
      <c r="A31" s="249" t="s">
        <v>507</v>
      </c>
      <c r="B31" s="242" t="s">
        <v>508</v>
      </c>
      <c r="C31" s="14"/>
      <c r="D31" s="13"/>
      <c r="E31" s="13"/>
      <c r="F31" s="13"/>
      <c r="G31" s="13"/>
      <c r="H31" s="209"/>
      <c r="I31" s="209"/>
      <c r="J31" s="64"/>
      <c r="K31" s="64"/>
    </row>
    <row r="32" spans="1:11" ht="40.5" customHeight="1" x14ac:dyDescent="0.25">
      <c r="A32" s="423" t="s">
        <v>664</v>
      </c>
      <c r="B32" s="424" t="s">
        <v>666</v>
      </c>
      <c r="C32" s="425" t="s">
        <v>667</v>
      </c>
      <c r="D32" s="421">
        <f>D33+D34</f>
        <v>213466.07</v>
      </c>
      <c r="E32" s="421"/>
      <c r="F32" s="421">
        <f>F33+F34</f>
        <v>129000</v>
      </c>
      <c r="G32" s="421"/>
      <c r="H32" s="421">
        <f>H33+H34</f>
        <v>129000</v>
      </c>
      <c r="I32" s="421"/>
      <c r="J32" s="64"/>
      <c r="K32" s="64"/>
    </row>
    <row r="33" spans="1:11" ht="33.75" customHeight="1" x14ac:dyDescent="0.25">
      <c r="A33" s="249" t="s">
        <v>665</v>
      </c>
      <c r="B33" s="242" t="s">
        <v>668</v>
      </c>
      <c r="C33" s="14" t="s">
        <v>669</v>
      </c>
      <c r="D33" s="13">
        <v>99000</v>
      </c>
      <c r="E33" s="13"/>
      <c r="F33" s="13">
        <v>129000</v>
      </c>
      <c r="G33" s="13"/>
      <c r="H33" s="209">
        <v>129000</v>
      </c>
      <c r="I33" s="209"/>
      <c r="J33" s="64" t="s">
        <v>475</v>
      </c>
      <c r="K33" s="64" t="s">
        <v>475</v>
      </c>
    </row>
    <row r="34" spans="1:11" ht="15.75" x14ac:dyDescent="0.25">
      <c r="A34" s="716"/>
      <c r="B34" s="717">
        <v>2212</v>
      </c>
      <c r="C34" s="715" t="s">
        <v>1005</v>
      </c>
      <c r="D34" s="727">
        <v>114466.07</v>
      </c>
      <c r="E34" s="718"/>
      <c r="F34" s="718">
        <v>0</v>
      </c>
      <c r="G34" s="718"/>
      <c r="H34" s="718">
        <v>0</v>
      </c>
      <c r="I34" s="718"/>
      <c r="J34" s="230"/>
      <c r="K34" s="230"/>
    </row>
    <row r="35" spans="1:11" x14ac:dyDescent="0.25">
      <c r="J35" s="230"/>
      <c r="K35" s="230"/>
    </row>
    <row r="36" spans="1:11" x14ac:dyDescent="0.25">
      <c r="J36" s="230"/>
      <c r="K36" s="230"/>
    </row>
  </sheetData>
  <mergeCells count="12">
    <mergeCell ref="A1:I1"/>
    <mergeCell ref="H3:I3"/>
    <mergeCell ref="H4:I4"/>
    <mergeCell ref="J3:K4"/>
    <mergeCell ref="A2:A5"/>
    <mergeCell ref="B2:B5"/>
    <mergeCell ref="C2:C5"/>
    <mergeCell ref="D2:K2"/>
    <mergeCell ref="D3:E3"/>
    <mergeCell ref="D4:E4"/>
    <mergeCell ref="F3:G3"/>
    <mergeCell ref="F4:G4"/>
  </mergeCells>
  <phoneticPr fontId="40" type="noConversion"/>
  <pageMargins left="0.51181102362204722" right="0.31496062992125984" top="0.55118110236220474" bottom="0.55118110236220474" header="0" footer="0"/>
  <pageSetup paperSize="9" scale="55"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6"/>
  <sheetViews>
    <sheetView topLeftCell="A19" workbookViewId="0">
      <selection activeCell="F41" sqref="F41"/>
    </sheetView>
  </sheetViews>
  <sheetFormatPr defaultColWidth="9.140625" defaultRowHeight="15" x14ac:dyDescent="0.25"/>
  <cols>
    <col min="1" max="1" width="9.85546875" style="267" bestFit="1" customWidth="1"/>
    <col min="2" max="2" width="34.140625" style="11" customWidth="1"/>
    <col min="3" max="3" width="7.42578125" style="11" customWidth="1"/>
    <col min="4" max="4" width="8" style="11" customWidth="1"/>
    <col min="5" max="5" width="19.85546875" style="11" customWidth="1"/>
    <col min="6" max="7" width="18.42578125" style="11" customWidth="1"/>
    <col min="8" max="16384" width="9.140625" style="11"/>
  </cols>
  <sheetData>
    <row r="3" spans="1:12" ht="21.75" customHeight="1" x14ac:dyDescent="0.25">
      <c r="B3" s="789" t="s">
        <v>535</v>
      </c>
      <c r="C3" s="790"/>
      <c r="D3" s="790"/>
      <c r="E3" s="790"/>
      <c r="F3" s="790"/>
      <c r="G3" s="790"/>
      <c r="H3" s="16"/>
      <c r="I3" s="16"/>
      <c r="J3" s="16"/>
      <c r="K3" s="16"/>
      <c r="L3" s="16"/>
    </row>
    <row r="4" spans="1:12" x14ac:dyDescent="0.25">
      <c r="B4" s="791" t="s">
        <v>1051</v>
      </c>
      <c r="C4" s="791"/>
      <c r="D4" s="791"/>
      <c r="E4" s="791"/>
      <c r="F4" s="791"/>
      <c r="G4" s="791"/>
      <c r="H4" s="16"/>
      <c r="I4" s="16"/>
    </row>
    <row r="5" spans="1:12" x14ac:dyDescent="0.25">
      <c r="B5" s="17"/>
    </row>
    <row r="6" spans="1:12" ht="33" customHeight="1" x14ac:dyDescent="0.25">
      <c r="A6" s="788" t="s">
        <v>515</v>
      </c>
      <c r="B6" s="792" t="s">
        <v>0</v>
      </c>
      <c r="C6" s="792" t="s">
        <v>16</v>
      </c>
      <c r="D6" s="792" t="s">
        <v>17</v>
      </c>
      <c r="E6" s="793" t="s">
        <v>509</v>
      </c>
      <c r="F6" s="793"/>
      <c r="G6" s="793"/>
    </row>
    <row r="7" spans="1:12" ht="15" customHeight="1" x14ac:dyDescent="0.25">
      <c r="A7" s="788"/>
      <c r="B7" s="792"/>
      <c r="C7" s="792"/>
      <c r="D7" s="792"/>
      <c r="E7" s="232" t="s">
        <v>510</v>
      </c>
      <c r="F7" s="232" t="s">
        <v>425</v>
      </c>
      <c r="G7" s="232" t="s">
        <v>511</v>
      </c>
    </row>
    <row r="8" spans="1:12" ht="82.9" customHeight="1" x14ac:dyDescent="0.25">
      <c r="A8" s="788"/>
      <c r="B8" s="792"/>
      <c r="C8" s="792"/>
      <c r="D8" s="792"/>
      <c r="E8" s="254" t="s">
        <v>512</v>
      </c>
      <c r="F8" s="254" t="s">
        <v>513</v>
      </c>
      <c r="G8" s="254" t="s">
        <v>514</v>
      </c>
    </row>
    <row r="9" spans="1:12" x14ac:dyDescent="0.25">
      <c r="A9" s="266">
        <v>1</v>
      </c>
      <c r="B9" s="231">
        <v>2</v>
      </c>
      <c r="C9" s="231">
        <v>3</v>
      </c>
      <c r="D9" s="231">
        <v>4</v>
      </c>
      <c r="E9" s="231">
        <v>5</v>
      </c>
      <c r="F9" s="231">
        <v>6</v>
      </c>
      <c r="G9" s="231">
        <v>7</v>
      </c>
    </row>
    <row r="10" spans="1:12" ht="34.5" customHeight="1" x14ac:dyDescent="0.25">
      <c r="A10" s="266">
        <v>1</v>
      </c>
      <c r="B10" s="5" t="s">
        <v>516</v>
      </c>
      <c r="C10" s="232">
        <v>26000</v>
      </c>
      <c r="D10" s="232" t="s">
        <v>18</v>
      </c>
      <c r="E10" s="432">
        <f>'раздел 1'!D29+'раздел 1'!D12</f>
        <v>8369935.1299999999</v>
      </c>
      <c r="F10" s="227">
        <f>'раздел 1'!F29+'раздел 1'!F12</f>
        <v>8492685.7899999991</v>
      </c>
      <c r="G10" s="227">
        <f>'раздел 1'!H29+'раздел 1'!H12</f>
        <v>8492685.7899999991</v>
      </c>
    </row>
    <row r="11" spans="1:12" ht="98.25" customHeight="1" x14ac:dyDescent="0.25">
      <c r="A11" s="251" t="s">
        <v>517</v>
      </c>
      <c r="B11" s="252" t="s">
        <v>533</v>
      </c>
      <c r="C11" s="254">
        <v>26300</v>
      </c>
      <c r="D11" s="232" t="s">
        <v>18</v>
      </c>
      <c r="E11" s="432">
        <v>7961743.1200000001</v>
      </c>
      <c r="F11" s="227">
        <v>7368743.1200000001</v>
      </c>
      <c r="G11" s="227">
        <v>7331743.1200000001</v>
      </c>
    </row>
    <row r="12" spans="1:12" ht="94.5" x14ac:dyDescent="0.25">
      <c r="A12" s="251" t="s">
        <v>518</v>
      </c>
      <c r="B12" s="252" t="s">
        <v>534</v>
      </c>
      <c r="C12" s="254">
        <v>26400</v>
      </c>
      <c r="D12" s="232" t="s">
        <v>18</v>
      </c>
      <c r="E12" s="432">
        <v>1000000</v>
      </c>
      <c r="F12" s="227">
        <v>1563000</v>
      </c>
      <c r="G12" s="227">
        <v>1600000</v>
      </c>
    </row>
    <row r="13" spans="1:12" ht="81" customHeight="1" x14ac:dyDescent="0.25">
      <c r="A13" s="251" t="s">
        <v>520</v>
      </c>
      <c r="B13" s="253" t="s">
        <v>519</v>
      </c>
      <c r="C13" s="253">
        <v>26410</v>
      </c>
      <c r="D13" s="232" t="s">
        <v>18</v>
      </c>
      <c r="E13" s="432">
        <f>'раздел 1'!D11</f>
        <v>30626595.789999999</v>
      </c>
      <c r="F13" s="227">
        <f>'раздел 1'!F11</f>
        <v>33156030.469999999</v>
      </c>
      <c r="G13" s="227">
        <f>'раздел 1'!H11</f>
        <v>33156030.469999999</v>
      </c>
    </row>
    <row r="14" spans="1:12" ht="31.5" x14ac:dyDescent="0.25">
      <c r="A14" s="255" t="s">
        <v>522</v>
      </c>
      <c r="B14" s="253" t="s">
        <v>521</v>
      </c>
      <c r="C14" s="253">
        <v>26411</v>
      </c>
      <c r="D14" s="232" t="s">
        <v>18</v>
      </c>
      <c r="E14" s="5"/>
      <c r="F14" s="5"/>
      <c r="G14" s="5"/>
    </row>
    <row r="15" spans="1:12" ht="90" x14ac:dyDescent="0.25">
      <c r="A15" s="251" t="s">
        <v>525</v>
      </c>
      <c r="B15" s="261" t="s">
        <v>524</v>
      </c>
      <c r="C15" s="254">
        <v>26420</v>
      </c>
      <c r="D15" s="232" t="s">
        <v>18</v>
      </c>
      <c r="E15" s="250"/>
      <c r="F15" s="250"/>
      <c r="G15" s="250"/>
    </row>
    <row r="16" spans="1:12" ht="31.5" x14ac:dyDescent="0.25">
      <c r="A16" s="255" t="s">
        <v>526</v>
      </c>
      <c r="B16" s="253" t="s">
        <v>521</v>
      </c>
      <c r="C16" s="253">
        <v>26421</v>
      </c>
      <c r="D16" s="232" t="s">
        <v>18</v>
      </c>
      <c r="E16" s="250"/>
      <c r="F16" s="250"/>
      <c r="G16" s="250"/>
    </row>
    <row r="17" spans="1:7" ht="15.75" customHeight="1" x14ac:dyDescent="0.25">
      <c r="A17" s="251" t="s">
        <v>529</v>
      </c>
      <c r="B17" s="265" t="s">
        <v>523</v>
      </c>
      <c r="C17" s="254">
        <v>26430</v>
      </c>
      <c r="D17" s="232" t="s">
        <v>18</v>
      </c>
      <c r="E17" s="433">
        <f>'раздел 1'!D15</f>
        <v>394899.49</v>
      </c>
      <c r="F17" s="433">
        <f>'раздел 1'!F15</f>
        <v>394899.49</v>
      </c>
      <c r="G17" s="433">
        <f>F17</f>
        <v>394899.49</v>
      </c>
    </row>
    <row r="18" spans="1:7" ht="31.5" x14ac:dyDescent="0.25">
      <c r="A18" s="251" t="s">
        <v>530</v>
      </c>
      <c r="B18" s="253" t="s">
        <v>527</v>
      </c>
      <c r="C18" s="254">
        <v>26450</v>
      </c>
      <c r="D18" s="232" t="s">
        <v>18</v>
      </c>
      <c r="E18" s="433">
        <f>'раздел 1'!D12</f>
        <v>0</v>
      </c>
      <c r="F18" s="433">
        <f>E18</f>
        <v>0</v>
      </c>
      <c r="G18" s="433">
        <f>F18</f>
        <v>0</v>
      </c>
    </row>
    <row r="19" spans="1:7" ht="31.5" x14ac:dyDescent="0.25">
      <c r="A19" s="254" t="s">
        <v>528</v>
      </c>
      <c r="B19" s="253" t="s">
        <v>521</v>
      </c>
      <c r="C19" s="254">
        <v>26451</v>
      </c>
      <c r="D19" s="232" t="s">
        <v>18</v>
      </c>
      <c r="E19" s="261"/>
      <c r="F19" s="250"/>
      <c r="G19" s="250"/>
    </row>
    <row r="20" spans="1:7" ht="110.25" x14ac:dyDescent="0.25">
      <c r="A20" s="254">
        <v>2</v>
      </c>
      <c r="B20" s="253" t="s">
        <v>532</v>
      </c>
      <c r="C20" s="254">
        <v>26500</v>
      </c>
      <c r="D20" s="232" t="s">
        <v>18</v>
      </c>
      <c r="E20" s="433">
        <f>E13+E17</f>
        <v>31021495.279999997</v>
      </c>
      <c r="F20" s="433">
        <f>F13+F17</f>
        <v>33550929.959999997</v>
      </c>
      <c r="G20" s="433">
        <f>G13+G17</f>
        <v>33550929.959999997</v>
      </c>
    </row>
    <row r="21" spans="1:7" ht="31.5" x14ac:dyDescent="0.25">
      <c r="A21" s="254"/>
      <c r="B21" s="253" t="s">
        <v>531</v>
      </c>
      <c r="C21" s="254">
        <v>26510</v>
      </c>
      <c r="D21" s="250"/>
      <c r="E21" s="433">
        <f>E20</f>
        <v>31021495.279999997</v>
      </c>
      <c r="F21" s="433">
        <f>F20</f>
        <v>33550929.959999997</v>
      </c>
      <c r="G21" s="433">
        <f>G20</f>
        <v>33550929.959999997</v>
      </c>
    </row>
    <row r="23" spans="1:7" ht="56.25" customHeight="1" x14ac:dyDescent="0.25">
      <c r="A23" s="787" t="s">
        <v>658</v>
      </c>
      <c r="B23" s="787"/>
      <c r="C23" s="270"/>
      <c r="D23" s="270"/>
      <c r="E23" s="11" t="s">
        <v>661</v>
      </c>
    </row>
    <row r="24" spans="1:7" x14ac:dyDescent="0.25">
      <c r="A24" s="269" t="s">
        <v>537</v>
      </c>
      <c r="B24" s="269"/>
    </row>
    <row r="25" spans="1:7" ht="15.75" x14ac:dyDescent="0.25">
      <c r="A25" s="784" t="s">
        <v>673</v>
      </c>
      <c r="B25" s="784"/>
      <c r="C25" s="270"/>
      <c r="D25" s="270"/>
      <c r="E25" s="11" t="s">
        <v>1050</v>
      </c>
    </row>
    <row r="26" spans="1:7" x14ac:dyDescent="0.25">
      <c r="A26" s="269" t="s">
        <v>537</v>
      </c>
      <c r="B26" s="269"/>
    </row>
    <row r="27" spans="1:7" x14ac:dyDescent="0.25">
      <c r="A27" s="786"/>
      <c r="B27" s="786"/>
      <c r="C27" s="786"/>
      <c r="D27" s="786"/>
      <c r="E27" s="786"/>
      <c r="F27" s="786"/>
    </row>
    <row r="28" spans="1:7" ht="15.75" x14ac:dyDescent="0.25">
      <c r="A28" s="784" t="s">
        <v>1054</v>
      </c>
      <c r="B28" s="784"/>
      <c r="C28" s="784"/>
      <c r="D28" s="784"/>
      <c r="E28" s="784"/>
    </row>
    <row r="29" spans="1:7" ht="15.75" x14ac:dyDescent="0.25">
      <c r="A29" s="268"/>
    </row>
    <row r="30" spans="1:7" ht="15.75" x14ac:dyDescent="0.25">
      <c r="A30" s="784" t="s">
        <v>536</v>
      </c>
      <c r="B30" s="784"/>
    </row>
    <row r="31" spans="1:7" ht="15.75" x14ac:dyDescent="0.25">
      <c r="A31" s="268"/>
    </row>
    <row r="32" spans="1:7" ht="55.5" customHeight="1" x14ac:dyDescent="0.25">
      <c r="A32" s="785" t="s">
        <v>965</v>
      </c>
      <c r="B32" s="785"/>
      <c r="C32" s="270"/>
      <c r="D32" s="270"/>
      <c r="E32" s="11" t="s">
        <v>1049</v>
      </c>
    </row>
    <row r="33" spans="1:5" x14ac:dyDescent="0.25">
      <c r="A33" s="786" t="s">
        <v>1013</v>
      </c>
      <c r="B33" s="786"/>
      <c r="C33" s="786"/>
      <c r="D33" s="786"/>
      <c r="E33" s="786"/>
    </row>
    <row r="34" spans="1:5" ht="15.75" x14ac:dyDescent="0.25">
      <c r="A34" s="268"/>
    </row>
    <row r="35" spans="1:5" ht="15.75" x14ac:dyDescent="0.25">
      <c r="A35" s="784" t="s">
        <v>1054</v>
      </c>
      <c r="B35" s="784"/>
      <c r="C35" s="784"/>
      <c r="D35" s="784"/>
      <c r="E35" s="784"/>
    </row>
    <row r="36" spans="1:5" ht="15.75" x14ac:dyDescent="0.25">
      <c r="A36" s="268"/>
    </row>
  </sheetData>
  <mergeCells count="15">
    <mergeCell ref="A23:B23"/>
    <mergeCell ref="A6:A8"/>
    <mergeCell ref="B3:G3"/>
    <mergeCell ref="B4:G4"/>
    <mergeCell ref="B6:B8"/>
    <mergeCell ref="C6:C8"/>
    <mergeCell ref="D6:D8"/>
    <mergeCell ref="E6:G6"/>
    <mergeCell ref="A35:E35"/>
    <mergeCell ref="A32:B32"/>
    <mergeCell ref="A25:B25"/>
    <mergeCell ref="A27:F27"/>
    <mergeCell ref="A28:E28"/>
    <mergeCell ref="A30:B30"/>
    <mergeCell ref="A33:E33"/>
  </mergeCells>
  <phoneticPr fontId="40" type="noConversion"/>
  <pageMargins left="0.70866141732283472" right="0.31496062992125984" top="0.74803149606299213" bottom="0.35433070866141736" header="0" footer="0"/>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57"/>
  <sheetViews>
    <sheetView tabSelected="1" view="pageBreakPreview" topLeftCell="A628" zoomScale="70" zoomScaleSheetLayoutView="70" workbookViewId="0">
      <selection activeCell="G654" sqref="G654"/>
    </sheetView>
  </sheetViews>
  <sheetFormatPr defaultColWidth="8.85546875" defaultRowHeight="15" x14ac:dyDescent="0.25"/>
  <cols>
    <col min="1" max="1" width="9" style="217" customWidth="1"/>
    <col min="2" max="2" width="25.7109375" style="218" customWidth="1"/>
    <col min="3" max="3" width="15.140625" style="218" customWidth="1"/>
    <col min="4" max="4" width="16.7109375" style="218" customWidth="1"/>
    <col min="5" max="5" width="14" style="218" customWidth="1"/>
    <col min="6" max="6" width="15" style="218" customWidth="1"/>
    <col min="7" max="7" width="13.7109375" style="217" customWidth="1"/>
    <col min="8" max="8" width="17.140625" style="217" customWidth="1"/>
    <col min="9" max="9" width="17.85546875" style="215" customWidth="1"/>
    <col min="10" max="10" width="13" style="215" customWidth="1"/>
    <col min="11" max="12" width="15.140625" style="215" customWidth="1"/>
    <col min="13" max="13" width="14.85546875" style="215" customWidth="1"/>
    <col min="14" max="14" width="17.140625" style="214" customWidth="1"/>
    <col min="15" max="15" width="26.7109375" style="214" customWidth="1"/>
    <col min="16" max="16" width="13.85546875" style="214" bestFit="1" customWidth="1"/>
    <col min="17" max="16384" width="8.85546875" style="214"/>
  </cols>
  <sheetData>
    <row r="2" spans="1:11" ht="18.75" x14ac:dyDescent="0.3">
      <c r="A2" s="434"/>
      <c r="B2" s="434"/>
      <c r="C2" s="434"/>
      <c r="D2" s="434"/>
      <c r="E2" s="434"/>
      <c r="F2" s="434"/>
    </row>
    <row r="3" spans="1:11" ht="18.75" x14ac:dyDescent="0.3">
      <c r="A3" s="435" t="s">
        <v>19</v>
      </c>
      <c r="B3" s="435"/>
      <c r="C3" s="840" t="s">
        <v>674</v>
      </c>
      <c r="D3" s="840"/>
      <c r="E3" s="840"/>
      <c r="F3" s="840"/>
    </row>
    <row r="4" spans="1:11" ht="18.75" x14ac:dyDescent="0.3">
      <c r="A4" s="436" t="s">
        <v>675</v>
      </c>
      <c r="B4" s="435"/>
      <c r="C4" s="799" t="s">
        <v>676</v>
      </c>
      <c r="D4" s="799"/>
      <c r="E4" s="799"/>
      <c r="F4" s="799"/>
    </row>
    <row r="5" spans="1:11" ht="18.75" x14ac:dyDescent="0.3">
      <c r="A5" s="800" t="s">
        <v>677</v>
      </c>
      <c r="B5" s="800"/>
      <c r="C5" s="799" t="s">
        <v>678</v>
      </c>
      <c r="D5" s="799"/>
      <c r="E5" s="437"/>
      <c r="F5" s="437"/>
    </row>
    <row r="6" spans="1:11" ht="18.75" x14ac:dyDescent="0.3">
      <c r="A6" s="438"/>
      <c r="B6" s="818"/>
      <c r="C6" s="818"/>
      <c r="D6" s="818"/>
      <c r="E6" s="438"/>
      <c r="F6" s="438"/>
    </row>
    <row r="7" spans="1:11" x14ac:dyDescent="0.25">
      <c r="A7" s="5">
        <v>1</v>
      </c>
      <c r="B7" s="5" t="s">
        <v>679</v>
      </c>
      <c r="C7" s="826">
        <v>291843.48</v>
      </c>
      <c r="D7" s="827"/>
      <c r="E7" s="828"/>
      <c r="F7" s="208"/>
    </row>
    <row r="8" spans="1:11" ht="30" x14ac:dyDescent="0.25">
      <c r="A8" s="5"/>
      <c r="B8" s="5" t="s">
        <v>680</v>
      </c>
      <c r="C8" s="826">
        <v>88136.73</v>
      </c>
      <c r="D8" s="827"/>
      <c r="E8" s="828"/>
      <c r="F8" s="208"/>
    </row>
    <row r="9" spans="1:11" x14ac:dyDescent="0.25">
      <c r="A9" s="838" t="s">
        <v>407</v>
      </c>
      <c r="B9" s="838"/>
      <c r="C9" s="856">
        <f>C7+C8</f>
        <v>379980.20999999996</v>
      </c>
      <c r="D9" s="857"/>
      <c r="E9" s="858"/>
      <c r="F9" s="208"/>
    </row>
    <row r="11" spans="1:11" x14ac:dyDescent="0.25">
      <c r="I11" s="228"/>
      <c r="J11" s="228"/>
      <c r="K11" s="228"/>
    </row>
    <row r="13" spans="1:11" ht="18.75" x14ac:dyDescent="0.3">
      <c r="A13" s="842" t="s">
        <v>681</v>
      </c>
      <c r="B13" s="842"/>
      <c r="C13" s="842"/>
      <c r="D13" s="842"/>
      <c r="E13" s="842"/>
      <c r="F13" s="842"/>
      <c r="G13" s="842"/>
    </row>
    <row r="14" spans="1:11" x14ac:dyDescent="0.25">
      <c r="A14" s="208"/>
      <c r="B14" s="208"/>
      <c r="C14" s="208"/>
      <c r="D14" s="208"/>
      <c r="E14" s="208"/>
      <c r="F14" s="208"/>
      <c r="G14" s="208"/>
    </row>
    <row r="15" spans="1:11" ht="18.75" customHeight="1" x14ac:dyDescent="0.3">
      <c r="A15" s="435" t="s">
        <v>19</v>
      </c>
      <c r="B15" s="435"/>
      <c r="C15" s="840" t="s">
        <v>682</v>
      </c>
      <c r="D15" s="840"/>
      <c r="E15" s="840"/>
      <c r="F15" s="840"/>
      <c r="G15" s="440"/>
    </row>
    <row r="16" spans="1:11" ht="18.75" x14ac:dyDescent="0.3">
      <c r="A16" s="436" t="s">
        <v>675</v>
      </c>
      <c r="B16" s="435"/>
      <c r="C16" s="799" t="s">
        <v>683</v>
      </c>
      <c r="D16" s="799"/>
      <c r="E16" s="799"/>
      <c r="F16" s="799"/>
      <c r="G16" s="440"/>
    </row>
    <row r="17" spans="1:7" ht="18.75" x14ac:dyDescent="0.3">
      <c r="A17" s="800" t="s">
        <v>677</v>
      </c>
      <c r="B17" s="800"/>
      <c r="C17" s="799" t="s">
        <v>684</v>
      </c>
      <c r="D17" s="799"/>
      <c r="E17" s="437"/>
      <c r="F17" s="437"/>
      <c r="G17" s="441"/>
    </row>
    <row r="18" spans="1:7" x14ac:dyDescent="0.25">
      <c r="A18" s="208"/>
      <c r="B18" s="208"/>
      <c r="C18" s="208"/>
      <c r="D18" s="208"/>
      <c r="E18" s="208"/>
      <c r="F18" s="208"/>
      <c r="G18" s="441"/>
    </row>
    <row r="19" spans="1:7" ht="18.75" x14ac:dyDescent="0.3">
      <c r="A19" s="859" t="s">
        <v>685</v>
      </c>
      <c r="B19" s="859"/>
      <c r="C19" s="859"/>
      <c r="D19" s="859"/>
      <c r="E19" s="859"/>
      <c r="F19" s="859"/>
      <c r="G19" s="859"/>
    </row>
    <row r="20" spans="1:7" x14ac:dyDescent="0.25">
      <c r="A20" s="208"/>
      <c r="B20" s="208"/>
      <c r="C20" s="208"/>
      <c r="D20" s="208"/>
      <c r="E20" s="208"/>
      <c r="F20" s="208"/>
      <c r="G20" s="208"/>
    </row>
    <row r="21" spans="1:7" x14ac:dyDescent="0.25">
      <c r="A21" s="860" t="s">
        <v>23</v>
      </c>
      <c r="B21" s="768" t="s">
        <v>686</v>
      </c>
      <c r="C21" s="768" t="s">
        <v>687</v>
      </c>
      <c r="D21" s="768" t="s">
        <v>61</v>
      </c>
      <c r="E21" s="768" t="s">
        <v>688</v>
      </c>
      <c r="F21" s="768" t="s">
        <v>31</v>
      </c>
      <c r="G21" s="208"/>
    </row>
    <row r="22" spans="1:7" x14ac:dyDescent="0.25">
      <c r="A22" s="861"/>
      <c r="B22" s="768"/>
      <c r="C22" s="768"/>
      <c r="D22" s="768"/>
      <c r="E22" s="768"/>
      <c r="F22" s="768"/>
      <c r="G22" s="208"/>
    </row>
    <row r="23" spans="1:7" x14ac:dyDescent="0.25">
      <c r="A23" s="415">
        <v>1</v>
      </c>
      <c r="B23" s="415">
        <v>2</v>
      </c>
      <c r="C23" s="415">
        <v>3</v>
      </c>
      <c r="D23" s="415">
        <v>4</v>
      </c>
      <c r="E23" s="415">
        <v>5</v>
      </c>
      <c r="F23" s="415">
        <v>6</v>
      </c>
      <c r="G23" s="208"/>
    </row>
    <row r="24" spans="1:7" ht="45" x14ac:dyDescent="0.25">
      <c r="A24" s="415">
        <v>1</v>
      </c>
      <c r="B24" s="5" t="s">
        <v>689</v>
      </c>
      <c r="C24" s="5">
        <v>1</v>
      </c>
      <c r="D24" s="5">
        <v>12</v>
      </c>
      <c r="E24" s="442">
        <v>5000</v>
      </c>
      <c r="F24" s="442">
        <f>E24*D24*C24</f>
        <v>60000</v>
      </c>
      <c r="G24" s="208"/>
    </row>
    <row r="25" spans="1:7" x14ac:dyDescent="0.25">
      <c r="A25" s="838" t="s">
        <v>344</v>
      </c>
      <c r="B25" s="838"/>
      <c r="C25" s="5"/>
      <c r="D25" s="5"/>
      <c r="E25" s="442"/>
      <c r="F25" s="442">
        <f>F24</f>
        <v>60000</v>
      </c>
      <c r="G25" s="208"/>
    </row>
    <row r="29" spans="1:7" ht="18.75" x14ac:dyDescent="0.3">
      <c r="A29" s="444" t="s">
        <v>690</v>
      </c>
      <c r="B29" s="435"/>
      <c r="C29" s="435"/>
      <c r="D29" s="435"/>
      <c r="E29" s="208"/>
    </row>
    <row r="30" spans="1:7" ht="18.75" x14ac:dyDescent="0.3">
      <c r="A30" s="208"/>
      <c r="B30" s="840" t="s">
        <v>682</v>
      </c>
      <c r="C30" s="840"/>
      <c r="D30" s="840"/>
      <c r="E30" s="208"/>
    </row>
    <row r="31" spans="1:7" x14ac:dyDescent="0.25">
      <c r="A31" s="811" t="s">
        <v>23</v>
      </c>
      <c r="B31" s="801" t="s">
        <v>30</v>
      </c>
      <c r="C31" s="801" t="s">
        <v>75</v>
      </c>
      <c r="D31" s="801" t="s">
        <v>76</v>
      </c>
      <c r="E31" s="208"/>
    </row>
    <row r="32" spans="1:7" x14ac:dyDescent="0.25">
      <c r="A32" s="813"/>
      <c r="B32" s="801"/>
      <c r="C32" s="801"/>
      <c r="D32" s="801"/>
      <c r="E32" s="208"/>
    </row>
    <row r="33" spans="1:6" x14ac:dyDescent="0.25">
      <c r="A33" s="445">
        <v>1</v>
      </c>
      <c r="B33" s="445">
        <v>2</v>
      </c>
      <c r="C33" s="445">
        <v>3</v>
      </c>
      <c r="D33" s="445">
        <v>4</v>
      </c>
      <c r="E33" s="208"/>
    </row>
    <row r="34" spans="1:6" ht="25.5" x14ac:dyDescent="0.25">
      <c r="A34" s="446">
        <v>1</v>
      </c>
      <c r="B34" s="447" t="s">
        <v>691</v>
      </c>
      <c r="C34" s="447">
        <v>1</v>
      </c>
      <c r="D34" s="448">
        <f>5000*2</f>
        <v>10000</v>
      </c>
      <c r="E34" s="208"/>
    </row>
    <row r="35" spans="1:6" ht="38.25" x14ac:dyDescent="0.25">
      <c r="A35" s="446">
        <v>2</v>
      </c>
      <c r="B35" s="447" t="s">
        <v>692</v>
      </c>
      <c r="C35" s="447">
        <v>2</v>
      </c>
      <c r="D35" s="448">
        <f>5000*C35</f>
        <v>10000</v>
      </c>
      <c r="E35" s="208"/>
    </row>
    <row r="36" spans="1:6" x14ac:dyDescent="0.25">
      <c r="A36" s="797" t="s">
        <v>344</v>
      </c>
      <c r="B36" s="797"/>
      <c r="C36" s="447"/>
      <c r="D36" s="448">
        <f>SUM(D34:D35)</f>
        <v>20000</v>
      </c>
      <c r="E36" s="208"/>
    </row>
    <row r="39" spans="1:6" x14ac:dyDescent="0.25">
      <c r="A39" s="862" t="s">
        <v>693</v>
      </c>
      <c r="B39" s="862"/>
      <c r="C39" s="862"/>
      <c r="D39" s="862"/>
      <c r="E39" s="862"/>
      <c r="F39" s="862"/>
    </row>
    <row r="40" spans="1:6" ht="31.5" customHeight="1" x14ac:dyDescent="0.25">
      <c r="A40" s="862"/>
      <c r="B40" s="862"/>
      <c r="C40" s="862"/>
      <c r="D40" s="862"/>
      <c r="E40" s="862"/>
      <c r="F40" s="862"/>
    </row>
    <row r="41" spans="1:6" ht="18.75" x14ac:dyDescent="0.3">
      <c r="A41" s="208"/>
      <c r="B41" s="840" t="s">
        <v>682</v>
      </c>
      <c r="C41" s="840"/>
      <c r="D41" s="840"/>
      <c r="E41" s="208"/>
      <c r="F41" s="208"/>
    </row>
    <row r="42" spans="1:6" x14ac:dyDescent="0.25">
      <c r="A42" s="847" t="s">
        <v>23</v>
      </c>
      <c r="B42" s="793" t="s">
        <v>30</v>
      </c>
      <c r="C42" s="793" t="s">
        <v>694</v>
      </c>
      <c r="D42" s="793" t="s">
        <v>78</v>
      </c>
      <c r="E42" s="793" t="s">
        <v>695</v>
      </c>
      <c r="F42" s="208"/>
    </row>
    <row r="43" spans="1:6" x14ac:dyDescent="0.25">
      <c r="A43" s="848"/>
      <c r="B43" s="793"/>
      <c r="C43" s="793"/>
      <c r="D43" s="793"/>
      <c r="E43" s="793"/>
      <c r="F43" s="208"/>
    </row>
    <row r="44" spans="1:6" x14ac:dyDescent="0.25">
      <c r="A44" s="418">
        <v>1</v>
      </c>
      <c r="B44" s="418">
        <v>2</v>
      </c>
      <c r="C44" s="418">
        <v>3</v>
      </c>
      <c r="D44" s="418">
        <v>4</v>
      </c>
      <c r="E44" s="418">
        <v>5</v>
      </c>
      <c r="F44" s="208"/>
    </row>
    <row r="45" spans="1:6" x14ac:dyDescent="0.25">
      <c r="A45" s="417">
        <v>1</v>
      </c>
      <c r="B45" s="449" t="s">
        <v>696</v>
      </c>
      <c r="C45" s="420">
        <v>30</v>
      </c>
      <c r="D45" s="450">
        <v>200</v>
      </c>
      <c r="E45" s="418">
        <f>C45*D45</f>
        <v>6000</v>
      </c>
      <c r="F45" s="208"/>
    </row>
    <row r="46" spans="1:6" x14ac:dyDescent="0.25">
      <c r="A46" s="417">
        <v>2</v>
      </c>
      <c r="B46" s="419" t="s">
        <v>697</v>
      </c>
      <c r="C46" s="451">
        <v>20</v>
      </c>
      <c r="D46" s="452">
        <v>100</v>
      </c>
      <c r="E46" s="418">
        <f t="shared" ref="E46:E53" si="0">C46*D46</f>
        <v>2000</v>
      </c>
      <c r="F46" s="208"/>
    </row>
    <row r="47" spans="1:6" x14ac:dyDescent="0.25">
      <c r="A47" s="417">
        <v>3</v>
      </c>
      <c r="B47" s="216" t="s">
        <v>698</v>
      </c>
      <c r="C47" s="420">
        <v>20</v>
      </c>
      <c r="D47" s="450">
        <v>300</v>
      </c>
      <c r="E47" s="418">
        <f t="shared" si="0"/>
        <v>6000</v>
      </c>
      <c r="F47" s="208"/>
    </row>
    <row r="48" spans="1:6" x14ac:dyDescent="0.25">
      <c r="A48" s="417">
        <v>4</v>
      </c>
      <c r="B48" s="419" t="s">
        <v>699</v>
      </c>
      <c r="C48" s="451">
        <v>10</v>
      </c>
      <c r="D48" s="452">
        <v>250</v>
      </c>
      <c r="E48" s="418">
        <f t="shared" si="0"/>
        <v>2500</v>
      </c>
      <c r="F48" s="208"/>
    </row>
    <row r="49" spans="1:12" x14ac:dyDescent="0.25">
      <c r="A49" s="417">
        <v>5</v>
      </c>
      <c r="B49" s="453" t="s">
        <v>700</v>
      </c>
      <c r="C49" s="420">
        <v>2</v>
      </c>
      <c r="D49" s="450">
        <v>1000</v>
      </c>
      <c r="E49" s="418">
        <f t="shared" si="0"/>
        <v>2000</v>
      </c>
      <c r="F49" s="208"/>
    </row>
    <row r="50" spans="1:12" x14ac:dyDescent="0.25">
      <c r="A50" s="417">
        <v>6</v>
      </c>
      <c r="B50" s="419" t="s">
        <v>701</v>
      </c>
      <c r="C50" s="451">
        <v>10</v>
      </c>
      <c r="D50" s="452">
        <v>260</v>
      </c>
      <c r="E50" s="418">
        <f t="shared" si="0"/>
        <v>2600</v>
      </c>
      <c r="F50" s="208"/>
    </row>
    <row r="51" spans="1:12" ht="26.25" x14ac:dyDescent="0.25">
      <c r="A51" s="417">
        <v>7</v>
      </c>
      <c r="B51" s="449" t="s">
        <v>702</v>
      </c>
      <c r="C51" s="420">
        <v>5</v>
      </c>
      <c r="D51" s="450">
        <v>300</v>
      </c>
      <c r="E51" s="418">
        <f t="shared" si="0"/>
        <v>1500</v>
      </c>
      <c r="F51" s="208"/>
    </row>
    <row r="52" spans="1:12" ht="25.5" x14ac:dyDescent="0.25">
      <c r="A52" s="417">
        <v>8</v>
      </c>
      <c r="B52" s="454" t="s">
        <v>703</v>
      </c>
      <c r="C52" s="455">
        <v>1</v>
      </c>
      <c r="D52" s="456">
        <v>5000</v>
      </c>
      <c r="E52" s="418">
        <f t="shared" si="0"/>
        <v>5000</v>
      </c>
      <c r="F52" s="208"/>
    </row>
    <row r="53" spans="1:12" ht="26.25" x14ac:dyDescent="0.25">
      <c r="A53" s="417">
        <v>9</v>
      </c>
      <c r="B53" s="449" t="s">
        <v>704</v>
      </c>
      <c r="C53" s="420">
        <v>12</v>
      </c>
      <c r="D53" s="450">
        <v>200</v>
      </c>
      <c r="E53" s="418">
        <f t="shared" si="0"/>
        <v>2400</v>
      </c>
      <c r="F53" s="208"/>
    </row>
    <row r="54" spans="1:12" x14ac:dyDescent="0.25">
      <c r="A54" s="838" t="s">
        <v>344</v>
      </c>
      <c r="B54" s="838"/>
      <c r="C54" s="5"/>
      <c r="D54" s="5"/>
      <c r="E54" s="457">
        <f>SUM(E45:E53)</f>
        <v>30000</v>
      </c>
      <c r="F54" s="208"/>
    </row>
    <row r="58" spans="1:12" x14ac:dyDescent="0.25">
      <c r="A58" s="855" t="s">
        <v>430</v>
      </c>
      <c r="B58" s="855"/>
      <c r="C58" s="855"/>
      <c r="D58" s="855"/>
      <c r="E58" s="855"/>
      <c r="F58" s="855"/>
      <c r="G58" s="855"/>
      <c r="H58" s="855"/>
      <c r="I58" s="855"/>
      <c r="J58" s="855"/>
      <c r="K58" s="855"/>
      <c r="L58" s="855"/>
    </row>
    <row r="59" spans="1:12" x14ac:dyDescent="0.25">
      <c r="A59" s="458" t="s">
        <v>19</v>
      </c>
      <c r="B59" s="458"/>
      <c r="C59" s="458"/>
      <c r="D59" s="459"/>
      <c r="E59" s="459"/>
      <c r="F59" s="863" t="s">
        <v>705</v>
      </c>
      <c r="G59" s="863"/>
      <c r="H59" s="863"/>
      <c r="I59" s="863"/>
      <c r="J59" s="460"/>
      <c r="K59" s="460"/>
      <c r="L59" s="458"/>
    </row>
    <row r="60" spans="1:12" x14ac:dyDescent="0.25">
      <c r="A60" s="458" t="s">
        <v>20</v>
      </c>
      <c r="B60" s="458"/>
      <c r="C60" s="458"/>
      <c r="D60" s="458"/>
      <c r="E60" s="458"/>
      <c r="F60" s="461" t="s">
        <v>706</v>
      </c>
      <c r="G60" s="461"/>
      <c r="H60" s="461"/>
      <c r="I60" s="461"/>
      <c r="J60" s="462"/>
      <c r="K60" s="462"/>
      <c r="L60" s="458"/>
    </row>
    <row r="61" spans="1:12" x14ac:dyDescent="0.25">
      <c r="A61" s="864" t="s">
        <v>22</v>
      </c>
      <c r="B61" s="864"/>
      <c r="C61" s="864"/>
      <c r="D61" s="864"/>
      <c r="E61" s="864"/>
      <c r="F61" s="463" t="s">
        <v>408</v>
      </c>
      <c r="G61" s="463"/>
      <c r="H61" s="463"/>
      <c r="I61" s="463"/>
      <c r="J61" s="462"/>
      <c r="K61" s="462"/>
      <c r="L61" s="458"/>
    </row>
    <row r="62" spans="1:12" x14ac:dyDescent="0.25">
      <c r="A62" s="865" t="s">
        <v>429</v>
      </c>
      <c r="B62" s="865"/>
      <c r="C62" s="865"/>
      <c r="D62" s="865"/>
      <c r="E62" s="865"/>
      <c r="F62" s="865"/>
      <c r="G62" s="865"/>
      <c r="H62" s="865"/>
      <c r="I62" s="865"/>
      <c r="J62" s="464"/>
      <c r="K62" s="458"/>
      <c r="L62" s="458"/>
    </row>
    <row r="63" spans="1:12" x14ac:dyDescent="0.25">
      <c r="A63" s="458"/>
      <c r="B63" s="458"/>
      <c r="C63" s="458"/>
      <c r="D63" s="458"/>
      <c r="E63" s="458"/>
      <c r="F63" s="458"/>
      <c r="G63" s="458"/>
      <c r="H63" s="458"/>
      <c r="I63" s="458"/>
      <c r="J63" s="458"/>
      <c r="K63" s="458"/>
      <c r="L63" s="458"/>
    </row>
    <row r="64" spans="1:12" x14ac:dyDescent="0.25">
      <c r="A64" s="866" t="s">
        <v>707</v>
      </c>
      <c r="B64" s="866"/>
      <c r="C64" s="866"/>
      <c r="D64" s="866"/>
      <c r="E64" s="866"/>
      <c r="F64" s="465">
        <v>30000</v>
      </c>
      <c r="G64" s="466"/>
      <c r="H64" s="458"/>
      <c r="I64" s="458"/>
      <c r="J64" s="458"/>
      <c r="K64" s="458"/>
      <c r="L64" s="458"/>
    </row>
    <row r="65" spans="1:12" x14ac:dyDescent="0.25">
      <c r="A65" s="866"/>
      <c r="B65" s="866"/>
      <c r="C65" s="866"/>
      <c r="D65" s="866"/>
      <c r="E65" s="866"/>
      <c r="F65" s="467">
        <f>F64</f>
        <v>30000</v>
      </c>
      <c r="G65" s="458"/>
      <c r="H65" s="458"/>
      <c r="I65" s="458"/>
      <c r="J65" s="458"/>
      <c r="K65" s="458"/>
      <c r="L65" s="458"/>
    </row>
    <row r="67" spans="1:12" x14ac:dyDescent="0.25">
      <c r="A67" s="468"/>
      <c r="B67" s="867" t="s">
        <v>708</v>
      </c>
      <c r="C67" s="867"/>
      <c r="D67" s="867"/>
      <c r="E67" s="867"/>
      <c r="F67" s="867"/>
    </row>
    <row r="68" spans="1:12" x14ac:dyDescent="0.25">
      <c r="A68" s="468"/>
      <c r="B68" s="867"/>
      <c r="C68" s="867"/>
      <c r="D68" s="867"/>
      <c r="E68" s="867"/>
      <c r="F68" s="867"/>
    </row>
    <row r="69" spans="1:12" ht="18.75" x14ac:dyDescent="0.3">
      <c r="A69" s="468"/>
      <c r="B69" s="469"/>
      <c r="C69" s="469"/>
      <c r="D69" s="469"/>
      <c r="E69" s="469"/>
      <c r="F69" s="469"/>
    </row>
    <row r="70" spans="1:12" ht="18.75" x14ac:dyDescent="0.3">
      <c r="A70" s="435" t="s">
        <v>19</v>
      </c>
      <c r="B70" s="435"/>
      <c r="C70" s="435"/>
      <c r="D70" s="839" t="s">
        <v>709</v>
      </c>
      <c r="E70" s="839"/>
      <c r="F70" s="439"/>
    </row>
    <row r="71" spans="1:12" ht="18.75" x14ac:dyDescent="0.3">
      <c r="A71" s="436" t="s">
        <v>675</v>
      </c>
      <c r="B71" s="435"/>
      <c r="C71" s="435"/>
      <c r="D71" s="868" t="s">
        <v>710</v>
      </c>
      <c r="E71" s="868"/>
      <c r="F71" s="868"/>
    </row>
    <row r="72" spans="1:12" ht="18.75" x14ac:dyDescent="0.3">
      <c r="A72" s="470" t="s">
        <v>677</v>
      </c>
      <c r="B72" s="470"/>
      <c r="C72" s="470"/>
      <c r="D72" s="471" t="s">
        <v>684</v>
      </c>
      <c r="E72" s="472"/>
      <c r="F72" s="472"/>
    </row>
    <row r="73" spans="1:12" ht="18.75" x14ac:dyDescent="0.3">
      <c r="A73" s="468"/>
      <c r="B73" s="469"/>
      <c r="C73" s="469"/>
      <c r="D73" s="469"/>
      <c r="E73" s="469"/>
      <c r="F73" s="469"/>
    </row>
    <row r="74" spans="1:12" ht="18.75" x14ac:dyDescent="0.3">
      <c r="A74" s="473"/>
      <c r="B74" s="474"/>
      <c r="C74" s="474"/>
      <c r="D74" s="474"/>
      <c r="E74" s="474"/>
      <c r="F74" s="474"/>
    </row>
    <row r="75" spans="1:12" ht="18.75" x14ac:dyDescent="0.3">
      <c r="A75" s="473"/>
      <c r="B75" s="474"/>
      <c r="C75" s="474"/>
      <c r="D75" s="474"/>
      <c r="E75" s="474"/>
      <c r="F75" s="474"/>
    </row>
    <row r="76" spans="1:12" ht="90" x14ac:dyDescent="0.25">
      <c r="A76" s="418" t="s">
        <v>23</v>
      </c>
      <c r="B76" s="418" t="s">
        <v>30</v>
      </c>
      <c r="C76" s="418" t="s">
        <v>55</v>
      </c>
      <c r="D76" s="418" t="s">
        <v>56</v>
      </c>
      <c r="E76" s="418" t="s">
        <v>711</v>
      </c>
      <c r="F76" s="418" t="s">
        <v>31</v>
      </c>
    </row>
    <row r="77" spans="1:12" x14ac:dyDescent="0.25">
      <c r="A77" s="415">
        <v>1</v>
      </c>
      <c r="B77" s="415">
        <v>2</v>
      </c>
      <c r="C77" s="415">
        <v>3</v>
      </c>
      <c r="D77" s="415">
        <v>4</v>
      </c>
      <c r="E77" s="415">
        <v>5</v>
      </c>
      <c r="F77" s="415">
        <v>6</v>
      </c>
    </row>
    <row r="78" spans="1:12" x14ac:dyDescent="0.25">
      <c r="A78" s="5">
        <v>1</v>
      </c>
      <c r="B78" s="5" t="s">
        <v>712</v>
      </c>
      <c r="C78" s="442">
        <v>450</v>
      </c>
      <c r="D78" s="5">
        <v>4</v>
      </c>
      <c r="E78" s="5">
        <v>7</v>
      </c>
      <c r="F78" s="457">
        <f>E78*D78*C78</f>
        <v>12600</v>
      </c>
    </row>
    <row r="79" spans="1:12" x14ac:dyDescent="0.25">
      <c r="A79" s="5">
        <v>2</v>
      </c>
      <c r="B79" s="5" t="s">
        <v>713</v>
      </c>
      <c r="C79" s="442">
        <v>5200</v>
      </c>
      <c r="D79" s="5">
        <v>4</v>
      </c>
      <c r="E79" s="5"/>
      <c r="F79" s="457">
        <f>D79*C79</f>
        <v>20800</v>
      </c>
    </row>
    <row r="80" spans="1:12" x14ac:dyDescent="0.25">
      <c r="A80" s="5">
        <v>4</v>
      </c>
      <c r="B80" s="5" t="s">
        <v>714</v>
      </c>
      <c r="C80" s="442">
        <v>1830</v>
      </c>
      <c r="D80" s="5">
        <v>4</v>
      </c>
      <c r="E80" s="5">
        <v>5</v>
      </c>
      <c r="F80" s="457">
        <f>E80*D80*C80</f>
        <v>36600</v>
      </c>
    </row>
    <row r="81" spans="1:7" x14ac:dyDescent="0.25">
      <c r="A81" s="838" t="s">
        <v>344</v>
      </c>
      <c r="B81" s="838"/>
      <c r="C81" s="5"/>
      <c r="D81" s="5"/>
      <c r="E81" s="5"/>
      <c r="F81" s="457">
        <f>SUM(F78:F80)</f>
        <v>70000</v>
      </c>
    </row>
    <row r="84" spans="1:7" ht="18.75" x14ac:dyDescent="0.3">
      <c r="A84" s="842" t="s">
        <v>715</v>
      </c>
      <c r="B84" s="842"/>
      <c r="C84" s="842"/>
      <c r="D84" s="842"/>
      <c r="E84" s="842"/>
      <c r="F84" s="842"/>
      <c r="G84" s="842"/>
    </row>
    <row r="85" spans="1:7" x14ac:dyDescent="0.25">
      <c r="A85" s="208"/>
      <c r="B85" s="208"/>
      <c r="C85" s="208"/>
      <c r="D85" s="208"/>
      <c r="E85" s="208"/>
      <c r="F85" s="208"/>
      <c r="G85" s="208"/>
    </row>
    <row r="86" spans="1:7" ht="18.75" customHeight="1" x14ac:dyDescent="0.3">
      <c r="A86" s="435" t="s">
        <v>19</v>
      </c>
      <c r="B86" s="435"/>
      <c r="C86" s="840" t="s">
        <v>709</v>
      </c>
      <c r="D86" s="840"/>
      <c r="E86" s="840"/>
      <c r="F86" s="840"/>
      <c r="G86" s="440"/>
    </row>
    <row r="87" spans="1:7" ht="18.75" x14ac:dyDescent="0.3">
      <c r="A87" s="436" t="s">
        <v>675</v>
      </c>
      <c r="B87" s="435"/>
      <c r="C87" s="799" t="s">
        <v>683</v>
      </c>
      <c r="D87" s="799"/>
      <c r="E87" s="799"/>
      <c r="F87" s="799"/>
      <c r="G87" s="440"/>
    </row>
    <row r="88" spans="1:7" ht="18.75" x14ac:dyDescent="0.3">
      <c r="A88" s="800" t="s">
        <v>677</v>
      </c>
      <c r="B88" s="800"/>
      <c r="C88" s="799" t="s">
        <v>684</v>
      </c>
      <c r="D88" s="799"/>
      <c r="E88" s="437"/>
      <c r="F88" s="437"/>
      <c r="G88" s="441"/>
    </row>
    <row r="89" spans="1:7" x14ac:dyDescent="0.25">
      <c r="A89" s="208"/>
      <c r="B89" s="208"/>
      <c r="C89" s="208"/>
      <c r="D89" s="208"/>
      <c r="E89" s="208"/>
      <c r="F89" s="208"/>
      <c r="G89" s="441"/>
    </row>
    <row r="90" spans="1:7" ht="18.75" x14ac:dyDescent="0.3">
      <c r="A90" s="859" t="s">
        <v>716</v>
      </c>
      <c r="B90" s="859"/>
      <c r="C90" s="859"/>
      <c r="D90" s="859"/>
      <c r="E90" s="859"/>
      <c r="F90" s="859"/>
      <c r="G90" s="859"/>
    </row>
    <row r="91" spans="1:7" x14ac:dyDescent="0.25">
      <c r="A91" s="208"/>
      <c r="B91" s="208"/>
      <c r="C91" s="208"/>
      <c r="D91" s="208"/>
      <c r="E91" s="208"/>
      <c r="F91" s="208"/>
      <c r="G91" s="208"/>
    </row>
    <row r="92" spans="1:7" x14ac:dyDescent="0.25">
      <c r="A92" s="860" t="s">
        <v>23</v>
      </c>
      <c r="B92" s="768" t="s">
        <v>686</v>
      </c>
      <c r="C92" s="768" t="s">
        <v>687</v>
      </c>
      <c r="D92" s="768" t="s">
        <v>61</v>
      </c>
      <c r="E92" s="768" t="s">
        <v>688</v>
      </c>
      <c r="F92" s="768" t="s">
        <v>31</v>
      </c>
      <c r="G92" s="208"/>
    </row>
    <row r="93" spans="1:7" x14ac:dyDescent="0.25">
      <c r="A93" s="861"/>
      <c r="B93" s="768"/>
      <c r="C93" s="768"/>
      <c r="D93" s="768"/>
      <c r="E93" s="768"/>
      <c r="F93" s="768"/>
      <c r="G93" s="208"/>
    </row>
    <row r="94" spans="1:7" x14ac:dyDescent="0.25">
      <c r="A94" s="415">
        <v>1</v>
      </c>
      <c r="B94" s="415">
        <v>2</v>
      </c>
      <c r="C94" s="415">
        <v>3</v>
      </c>
      <c r="D94" s="415">
        <v>4</v>
      </c>
      <c r="E94" s="415">
        <v>5</v>
      </c>
      <c r="F94" s="415">
        <v>6</v>
      </c>
      <c r="G94" s="208"/>
    </row>
    <row r="95" spans="1:7" ht="45" x14ac:dyDescent="0.25">
      <c r="A95" s="5">
        <v>1</v>
      </c>
      <c r="B95" s="5" t="s">
        <v>689</v>
      </c>
      <c r="C95" s="5">
        <v>1</v>
      </c>
      <c r="D95" s="5">
        <v>12</v>
      </c>
      <c r="E95" s="442">
        <v>7300</v>
      </c>
      <c r="F95" s="442">
        <f>E95*D95*C95</f>
        <v>87600</v>
      </c>
      <c r="G95" s="208"/>
    </row>
    <row r="96" spans="1:7" ht="30" x14ac:dyDescent="0.25">
      <c r="A96" s="5">
        <v>2</v>
      </c>
      <c r="B96" s="5" t="s">
        <v>717</v>
      </c>
      <c r="C96" s="5">
        <v>1</v>
      </c>
      <c r="D96" s="5">
        <v>12</v>
      </c>
      <c r="E96" s="442">
        <v>1700</v>
      </c>
      <c r="F96" s="442">
        <f>E96*D96</f>
        <v>20400</v>
      </c>
      <c r="G96" s="208"/>
    </row>
    <row r="97" spans="1:7" x14ac:dyDescent="0.25">
      <c r="A97" s="838" t="s">
        <v>344</v>
      </c>
      <c r="B97" s="838"/>
      <c r="C97" s="5"/>
      <c r="D97" s="5"/>
      <c r="E97" s="442"/>
      <c r="F97" s="442">
        <f>F95+F96</f>
        <v>108000</v>
      </c>
      <c r="G97" s="208"/>
    </row>
    <row r="100" spans="1:7" ht="18.75" x14ac:dyDescent="0.3">
      <c r="A100" s="859" t="s">
        <v>718</v>
      </c>
      <c r="B100" s="859"/>
      <c r="C100" s="859"/>
      <c r="D100" s="859"/>
      <c r="E100" s="859"/>
      <c r="F100" s="859"/>
    </row>
    <row r="101" spans="1:7" ht="18.75" x14ac:dyDescent="0.3">
      <c r="A101" s="434"/>
      <c r="B101" s="434"/>
      <c r="C101" s="434"/>
      <c r="D101" s="434"/>
      <c r="E101" s="434"/>
      <c r="F101" s="434"/>
    </row>
    <row r="102" spans="1:7" ht="18.75" customHeight="1" x14ac:dyDescent="0.3">
      <c r="A102" s="434"/>
      <c r="B102" s="434"/>
      <c r="C102" s="840" t="s">
        <v>709</v>
      </c>
      <c r="D102" s="840"/>
      <c r="E102" s="840"/>
      <c r="F102" s="434"/>
    </row>
    <row r="103" spans="1:7" ht="15" customHeight="1" x14ac:dyDescent="0.25">
      <c r="A103" s="860" t="s">
        <v>23</v>
      </c>
      <c r="B103" s="793" t="s">
        <v>30</v>
      </c>
      <c r="C103" s="793" t="s">
        <v>66</v>
      </c>
      <c r="D103" s="793" t="s">
        <v>719</v>
      </c>
      <c r="E103" s="793" t="s">
        <v>77</v>
      </c>
      <c r="F103" s="208"/>
    </row>
    <row r="104" spans="1:7" x14ac:dyDescent="0.25">
      <c r="A104" s="861"/>
      <c r="B104" s="793"/>
      <c r="C104" s="793"/>
      <c r="D104" s="793"/>
      <c r="E104" s="793"/>
      <c r="F104" s="208"/>
    </row>
    <row r="105" spans="1:7" x14ac:dyDescent="0.25">
      <c r="A105" s="418">
        <v>1</v>
      </c>
      <c r="B105" s="418">
        <v>2</v>
      </c>
      <c r="C105" s="418">
        <v>3</v>
      </c>
      <c r="D105" s="418">
        <v>4</v>
      </c>
      <c r="E105" s="418">
        <v>5</v>
      </c>
      <c r="F105" s="208"/>
    </row>
    <row r="106" spans="1:7" x14ac:dyDescent="0.25">
      <c r="A106" s="5">
        <v>1</v>
      </c>
      <c r="B106" s="5" t="s">
        <v>720</v>
      </c>
      <c r="C106" s="5">
        <v>2</v>
      </c>
      <c r="D106" s="442">
        <v>30000</v>
      </c>
      <c r="E106" s="442">
        <f>D106*C106</f>
        <v>60000</v>
      </c>
      <c r="F106" s="208"/>
    </row>
    <row r="107" spans="1:7" ht="15" customHeight="1" x14ac:dyDescent="0.25">
      <c r="A107" s="838" t="s">
        <v>407</v>
      </c>
      <c r="B107" s="838"/>
      <c r="C107" s="5"/>
      <c r="D107" s="442"/>
      <c r="E107" s="442">
        <f>E106</f>
        <v>60000</v>
      </c>
      <c r="F107" s="208"/>
    </row>
    <row r="110" spans="1:7" ht="18.75" x14ac:dyDescent="0.3">
      <c r="A110" s="444" t="s">
        <v>721</v>
      </c>
      <c r="B110" s="435"/>
      <c r="C110" s="435"/>
      <c r="D110" s="435"/>
      <c r="E110" s="208"/>
      <c r="F110" s="208"/>
    </row>
    <row r="111" spans="1:7" ht="18.75" customHeight="1" x14ac:dyDescent="0.3">
      <c r="A111" s="208"/>
      <c r="B111" s="840" t="s">
        <v>709</v>
      </c>
      <c r="C111" s="840"/>
      <c r="D111" s="840"/>
      <c r="E111" s="208"/>
      <c r="F111" s="208"/>
    </row>
    <row r="112" spans="1:7" ht="15" customHeight="1" x14ac:dyDescent="0.25">
      <c r="A112" s="811" t="s">
        <v>23</v>
      </c>
      <c r="B112" s="801" t="s">
        <v>30</v>
      </c>
      <c r="C112" s="801" t="s">
        <v>75</v>
      </c>
      <c r="D112" s="801" t="s">
        <v>76</v>
      </c>
      <c r="E112" s="208"/>
      <c r="F112" s="208"/>
    </row>
    <row r="113" spans="1:6" x14ac:dyDescent="0.25">
      <c r="A113" s="813"/>
      <c r="B113" s="801"/>
      <c r="C113" s="801"/>
      <c r="D113" s="801"/>
      <c r="E113" s="208"/>
      <c r="F113" s="208"/>
    </row>
    <row r="114" spans="1:6" x14ac:dyDescent="0.25">
      <c r="A114" s="445">
        <v>1</v>
      </c>
      <c r="B114" s="445">
        <v>2</v>
      </c>
      <c r="C114" s="445">
        <v>3</v>
      </c>
      <c r="D114" s="445">
        <v>4</v>
      </c>
      <c r="E114" s="208"/>
      <c r="F114" s="208"/>
    </row>
    <row r="115" spans="1:6" ht="25.5" x14ac:dyDescent="0.25">
      <c r="A115" s="446">
        <v>1</v>
      </c>
      <c r="B115" s="447" t="s">
        <v>691</v>
      </c>
      <c r="C115" s="447">
        <v>1</v>
      </c>
      <c r="D115" s="448">
        <f>4500*8</f>
        <v>36000</v>
      </c>
      <c r="E115" s="208"/>
      <c r="F115" s="208"/>
    </row>
    <row r="116" spans="1:6" ht="25.5" x14ac:dyDescent="0.25">
      <c r="A116" s="446">
        <v>2</v>
      </c>
      <c r="B116" s="447" t="s">
        <v>722</v>
      </c>
      <c r="C116" s="447">
        <v>2</v>
      </c>
      <c r="D116" s="448">
        <v>39000</v>
      </c>
      <c r="E116" s="208"/>
      <c r="F116" s="208"/>
    </row>
    <row r="117" spans="1:6" ht="25.5" x14ac:dyDescent="0.25">
      <c r="A117" s="446">
        <v>3</v>
      </c>
      <c r="B117" s="447" t="s">
        <v>723</v>
      </c>
      <c r="C117" s="447">
        <v>1</v>
      </c>
      <c r="D117" s="448">
        <v>40000</v>
      </c>
      <c r="E117" s="208"/>
      <c r="F117" s="208"/>
    </row>
    <row r="118" spans="1:6" ht="38.25" x14ac:dyDescent="0.25">
      <c r="A118" s="446">
        <v>4</v>
      </c>
      <c r="B118" s="447" t="s">
        <v>692</v>
      </c>
      <c r="C118" s="447">
        <v>2</v>
      </c>
      <c r="D118" s="448">
        <f>15000*C118</f>
        <v>30000</v>
      </c>
      <c r="E118" s="208"/>
      <c r="F118" s="208"/>
    </row>
    <row r="119" spans="1:6" ht="25.5" x14ac:dyDescent="0.25">
      <c r="A119" s="446">
        <v>5</v>
      </c>
      <c r="B119" s="447" t="s">
        <v>724</v>
      </c>
      <c r="C119" s="447">
        <v>4</v>
      </c>
      <c r="D119" s="448">
        <f>500*60</f>
        <v>30000</v>
      </c>
      <c r="E119" s="208"/>
      <c r="F119" s="208"/>
    </row>
    <row r="120" spans="1:6" ht="15" customHeight="1" x14ac:dyDescent="0.25">
      <c r="A120" s="797" t="s">
        <v>344</v>
      </c>
      <c r="B120" s="797"/>
      <c r="C120" s="447"/>
      <c r="D120" s="448">
        <f>SUM(D115:D119)</f>
        <v>175000</v>
      </c>
      <c r="E120" s="208"/>
      <c r="F120" s="208"/>
    </row>
    <row r="123" spans="1:6" x14ac:dyDescent="0.25">
      <c r="A123" s="869" t="s">
        <v>725</v>
      </c>
      <c r="B123" s="869"/>
      <c r="C123" s="869"/>
      <c r="D123" s="869"/>
      <c r="E123" s="869"/>
      <c r="F123" s="869"/>
    </row>
    <row r="124" spans="1:6" ht="30.75" customHeight="1" x14ac:dyDescent="0.25">
      <c r="A124" s="869"/>
      <c r="B124" s="869"/>
      <c r="C124" s="869"/>
      <c r="D124" s="869"/>
      <c r="E124" s="869"/>
      <c r="F124" s="869"/>
    </row>
    <row r="125" spans="1:6" ht="18.75" x14ac:dyDescent="0.3">
      <c r="A125" s="475"/>
      <c r="B125" s="475"/>
      <c r="C125" s="475"/>
      <c r="D125" s="475"/>
      <c r="E125" s="475"/>
      <c r="F125" s="475"/>
    </row>
    <row r="126" spans="1:6" x14ac:dyDescent="0.25">
      <c r="A126" s="862" t="s">
        <v>726</v>
      </c>
      <c r="B126" s="862"/>
      <c r="C126" s="862"/>
      <c r="D126" s="862"/>
      <c r="E126" s="862"/>
      <c r="F126" s="862"/>
    </row>
    <row r="127" spans="1:6" ht="44.25" customHeight="1" x14ac:dyDescent="0.25">
      <c r="A127" s="862"/>
      <c r="B127" s="862"/>
      <c r="C127" s="862"/>
      <c r="D127" s="862"/>
      <c r="E127" s="862"/>
      <c r="F127" s="862"/>
    </row>
    <row r="128" spans="1:6" ht="18.75" x14ac:dyDescent="0.3">
      <c r="A128" s="208"/>
      <c r="B128" s="208"/>
      <c r="C128" s="840" t="s">
        <v>709</v>
      </c>
      <c r="D128" s="840"/>
      <c r="E128" s="840"/>
      <c r="F128" s="208"/>
    </row>
    <row r="129" spans="1:12" x14ac:dyDescent="0.25">
      <c r="A129" s="847" t="s">
        <v>23</v>
      </c>
      <c r="B129" s="793" t="s">
        <v>30</v>
      </c>
      <c r="C129" s="793" t="s">
        <v>694</v>
      </c>
      <c r="D129" s="793" t="s">
        <v>78</v>
      </c>
      <c r="E129" s="793" t="s">
        <v>695</v>
      </c>
      <c r="F129" s="208"/>
    </row>
    <row r="130" spans="1:12" x14ac:dyDescent="0.25">
      <c r="A130" s="848"/>
      <c r="B130" s="793"/>
      <c r="C130" s="793"/>
      <c r="D130" s="793"/>
      <c r="E130" s="793"/>
      <c r="F130" s="208"/>
    </row>
    <row r="131" spans="1:12" x14ac:dyDescent="0.25">
      <c r="A131" s="418">
        <v>1</v>
      </c>
      <c r="B131" s="418">
        <v>2</v>
      </c>
      <c r="C131" s="418">
        <v>3</v>
      </c>
      <c r="D131" s="418">
        <v>4</v>
      </c>
      <c r="E131" s="418">
        <v>5</v>
      </c>
      <c r="F131" s="208"/>
    </row>
    <row r="132" spans="1:12" x14ac:dyDescent="0.25">
      <c r="A132" s="415">
        <v>1</v>
      </c>
      <c r="B132" s="219" t="s">
        <v>727</v>
      </c>
      <c r="C132" s="420">
        <v>243</v>
      </c>
      <c r="D132" s="450">
        <v>250</v>
      </c>
      <c r="E132" s="442">
        <f>D132*C132</f>
        <v>60750</v>
      </c>
      <c r="F132" s="208"/>
    </row>
    <row r="133" spans="1:12" x14ac:dyDescent="0.25">
      <c r="A133" s="415">
        <v>2</v>
      </c>
      <c r="B133" s="476" t="s">
        <v>728</v>
      </c>
      <c r="C133" s="477">
        <v>22</v>
      </c>
      <c r="D133" s="450">
        <v>2693.18</v>
      </c>
      <c r="E133" s="442">
        <f>D133*C133+0.04</f>
        <v>59250</v>
      </c>
      <c r="F133" s="208"/>
    </row>
    <row r="134" spans="1:12" x14ac:dyDescent="0.25">
      <c r="A134" s="838" t="s">
        <v>344</v>
      </c>
      <c r="B134" s="838"/>
      <c r="C134" s="5"/>
      <c r="D134" s="5"/>
      <c r="E134" s="457">
        <f>SUM(E132:E133)</f>
        <v>120000</v>
      </c>
      <c r="F134" s="208"/>
    </row>
    <row r="138" spans="1:12" x14ac:dyDescent="0.25">
      <c r="A138" s="855" t="s">
        <v>430</v>
      </c>
      <c r="B138" s="855"/>
      <c r="C138" s="855"/>
      <c r="D138" s="855"/>
      <c r="E138" s="855"/>
      <c r="F138" s="855"/>
      <c r="G138" s="855"/>
      <c r="H138" s="855"/>
      <c r="I138" s="855"/>
      <c r="J138" s="855"/>
      <c r="K138" s="855"/>
      <c r="L138" s="855"/>
    </row>
    <row r="139" spans="1:12" x14ac:dyDescent="0.25">
      <c r="A139" s="458" t="s">
        <v>19</v>
      </c>
      <c r="B139" s="458"/>
      <c r="C139" s="458"/>
      <c r="D139" s="459"/>
      <c r="E139" s="459"/>
      <c r="F139" s="863" t="s">
        <v>729</v>
      </c>
      <c r="G139" s="863"/>
      <c r="H139" s="863"/>
      <c r="I139" s="863"/>
      <c r="J139" s="460"/>
      <c r="K139" s="460"/>
      <c r="L139" s="458"/>
    </row>
    <row r="140" spans="1:12" x14ac:dyDescent="0.25">
      <c r="A140" s="458" t="s">
        <v>20</v>
      </c>
      <c r="B140" s="458"/>
      <c r="C140" s="458"/>
      <c r="D140" s="458"/>
      <c r="E140" s="458"/>
      <c r="F140" s="461" t="s">
        <v>706</v>
      </c>
      <c r="G140" s="461"/>
      <c r="H140" s="461"/>
      <c r="I140" s="461"/>
      <c r="J140" s="462"/>
      <c r="K140" s="462"/>
      <c r="L140" s="458"/>
    </row>
    <row r="141" spans="1:12" x14ac:dyDescent="0.25">
      <c r="A141" s="864" t="s">
        <v>22</v>
      </c>
      <c r="B141" s="864"/>
      <c r="C141" s="864"/>
      <c r="D141" s="864"/>
      <c r="E141" s="864"/>
      <c r="F141" s="463" t="s">
        <v>408</v>
      </c>
      <c r="G141" s="463"/>
      <c r="H141" s="463"/>
      <c r="I141" s="463"/>
      <c r="J141" s="462"/>
      <c r="K141" s="462"/>
      <c r="L141" s="458"/>
    </row>
    <row r="142" spans="1:12" x14ac:dyDescent="0.25">
      <c r="A142" s="865" t="s">
        <v>429</v>
      </c>
      <c r="B142" s="865"/>
      <c r="C142" s="865"/>
      <c r="D142" s="865"/>
      <c r="E142" s="865"/>
      <c r="F142" s="865"/>
      <c r="G142" s="865"/>
      <c r="H142" s="865"/>
      <c r="I142" s="865"/>
      <c r="J142" s="464"/>
      <c r="K142" s="458"/>
      <c r="L142" s="458"/>
    </row>
    <row r="143" spans="1:12" x14ac:dyDescent="0.25">
      <c r="A143" s="458"/>
      <c r="B143" s="458"/>
      <c r="C143" s="458"/>
      <c r="D143" s="458"/>
      <c r="E143" s="458"/>
      <c r="F143" s="458"/>
      <c r="G143" s="458"/>
      <c r="H143" s="458"/>
      <c r="I143" s="458"/>
      <c r="J143" s="458"/>
      <c r="K143" s="458"/>
      <c r="L143" s="458"/>
    </row>
    <row r="144" spans="1:12" x14ac:dyDescent="0.25">
      <c r="A144" s="866" t="s">
        <v>707</v>
      </c>
      <c r="B144" s="866"/>
      <c r="C144" s="866"/>
      <c r="D144" s="866"/>
      <c r="E144" s="866"/>
      <c r="F144" s="465">
        <v>50000</v>
      </c>
      <c r="G144" s="466"/>
      <c r="H144" s="458"/>
      <c r="I144" s="458"/>
      <c r="J144" s="458"/>
      <c r="K144" s="458"/>
      <c r="L144" s="458"/>
    </row>
    <row r="145" spans="1:12" x14ac:dyDescent="0.25">
      <c r="A145" s="866"/>
      <c r="B145" s="866"/>
      <c r="C145" s="866"/>
      <c r="D145" s="866"/>
      <c r="E145" s="866"/>
      <c r="F145" s="467">
        <f>F144</f>
        <v>50000</v>
      </c>
      <c r="G145" s="458"/>
      <c r="H145" s="458"/>
      <c r="I145" s="458"/>
      <c r="J145" s="458"/>
      <c r="K145" s="458"/>
      <c r="L145" s="458"/>
    </row>
    <row r="148" spans="1:12" ht="18.75" x14ac:dyDescent="0.3">
      <c r="A148" s="435" t="s">
        <v>19</v>
      </c>
      <c r="B148" s="435"/>
      <c r="C148" s="435"/>
      <c r="D148" s="839" t="s">
        <v>730</v>
      </c>
      <c r="E148" s="839"/>
      <c r="F148" s="439"/>
    </row>
    <row r="149" spans="1:12" ht="18.75" x14ac:dyDescent="0.3">
      <c r="A149" s="436" t="s">
        <v>675</v>
      </c>
      <c r="B149" s="435"/>
      <c r="C149" s="435"/>
      <c r="D149" s="868" t="s">
        <v>710</v>
      </c>
      <c r="E149" s="868"/>
      <c r="F149" s="868"/>
    </row>
    <row r="150" spans="1:12" ht="18.75" x14ac:dyDescent="0.3">
      <c r="A150" s="470" t="s">
        <v>677</v>
      </c>
      <c r="B150" s="470"/>
      <c r="C150" s="470"/>
      <c r="D150" s="471" t="s">
        <v>684</v>
      </c>
      <c r="E150" s="472"/>
      <c r="F150" s="472"/>
    </row>
    <row r="151" spans="1:12" ht="18.75" x14ac:dyDescent="0.3">
      <c r="A151" s="473"/>
      <c r="B151" s="474"/>
      <c r="C151" s="474"/>
      <c r="D151" s="474"/>
      <c r="E151" s="474"/>
      <c r="F151" s="474"/>
    </row>
    <row r="152" spans="1:12" ht="18.75" x14ac:dyDescent="0.3">
      <c r="A152" s="473"/>
      <c r="B152" s="474"/>
      <c r="C152" s="474"/>
      <c r="D152" s="474"/>
      <c r="E152" s="474"/>
      <c r="F152" s="474"/>
    </row>
    <row r="153" spans="1:12" ht="90" x14ac:dyDescent="0.25">
      <c r="A153" s="418" t="s">
        <v>23</v>
      </c>
      <c r="B153" s="418" t="s">
        <v>30</v>
      </c>
      <c r="C153" s="418" t="s">
        <v>55</v>
      </c>
      <c r="D153" s="418" t="s">
        <v>56</v>
      </c>
      <c r="E153" s="418" t="s">
        <v>711</v>
      </c>
      <c r="F153" s="418" t="s">
        <v>31</v>
      </c>
    </row>
    <row r="154" spans="1:12" x14ac:dyDescent="0.25">
      <c r="A154" s="415">
        <v>1</v>
      </c>
      <c r="B154" s="415">
        <v>2</v>
      </c>
      <c r="C154" s="415">
        <v>3</v>
      </c>
      <c r="D154" s="415">
        <v>4</v>
      </c>
      <c r="E154" s="415">
        <v>5</v>
      </c>
      <c r="F154" s="415">
        <v>6</v>
      </c>
    </row>
    <row r="155" spans="1:12" x14ac:dyDescent="0.25">
      <c r="A155" s="5">
        <v>1</v>
      </c>
      <c r="B155" s="5" t="s">
        <v>712</v>
      </c>
      <c r="C155" s="442">
        <v>450</v>
      </c>
      <c r="D155" s="5">
        <v>4</v>
      </c>
      <c r="E155" s="5">
        <v>7</v>
      </c>
      <c r="F155" s="457">
        <f>E155*D155*C155</f>
        <v>12600</v>
      </c>
    </row>
    <row r="156" spans="1:12" x14ac:dyDescent="0.25">
      <c r="A156" s="5">
        <v>2</v>
      </c>
      <c r="B156" s="5" t="s">
        <v>713</v>
      </c>
      <c r="C156" s="442">
        <v>5050</v>
      </c>
      <c r="D156" s="5">
        <v>4</v>
      </c>
      <c r="E156" s="5"/>
      <c r="F156" s="457">
        <f>D156*C156</f>
        <v>20200</v>
      </c>
    </row>
    <row r="157" spans="1:12" ht="60" x14ac:dyDescent="0.25">
      <c r="A157" s="5">
        <v>3</v>
      </c>
      <c r="B157" s="5" t="s">
        <v>731</v>
      </c>
      <c r="C157" s="442">
        <v>135</v>
      </c>
      <c r="D157" s="5">
        <v>4</v>
      </c>
      <c r="E157" s="5">
        <v>6</v>
      </c>
      <c r="F157" s="457">
        <f>E157*D157*C157-40</f>
        <v>3200</v>
      </c>
    </row>
    <row r="158" spans="1:12" x14ac:dyDescent="0.25">
      <c r="A158" s="870" t="s">
        <v>344</v>
      </c>
      <c r="B158" s="871"/>
      <c r="C158" s="5"/>
      <c r="D158" s="5"/>
      <c r="E158" s="5"/>
      <c r="F158" s="457">
        <f>SUM(F155:F157)</f>
        <v>36000</v>
      </c>
    </row>
    <row r="161" spans="1:7" ht="18.75" x14ac:dyDescent="0.3">
      <c r="A161" s="842" t="s">
        <v>732</v>
      </c>
      <c r="B161" s="842"/>
      <c r="C161" s="842"/>
      <c r="D161" s="842"/>
      <c r="E161" s="842"/>
      <c r="F161" s="842"/>
      <c r="G161" s="842"/>
    </row>
    <row r="162" spans="1:7" x14ac:dyDescent="0.25">
      <c r="A162" s="208"/>
      <c r="B162" s="208"/>
      <c r="C162" s="208"/>
      <c r="D162" s="208"/>
      <c r="E162" s="208"/>
      <c r="F162" s="208"/>
      <c r="G162" s="208"/>
    </row>
    <row r="163" spans="1:7" ht="18.75" customHeight="1" x14ac:dyDescent="0.3">
      <c r="A163" s="435" t="s">
        <v>19</v>
      </c>
      <c r="B163" s="435"/>
      <c r="C163" s="840" t="s">
        <v>730</v>
      </c>
      <c r="D163" s="840"/>
      <c r="E163" s="840"/>
      <c r="F163" s="439"/>
      <c r="G163" s="440"/>
    </row>
    <row r="164" spans="1:7" ht="18.75" x14ac:dyDescent="0.3">
      <c r="A164" s="436" t="s">
        <v>675</v>
      </c>
      <c r="B164" s="435"/>
      <c r="C164" s="799" t="s">
        <v>683</v>
      </c>
      <c r="D164" s="799"/>
      <c r="E164" s="799"/>
      <c r="F164" s="799"/>
      <c r="G164" s="440"/>
    </row>
    <row r="165" spans="1:7" ht="18.75" x14ac:dyDescent="0.3">
      <c r="A165" s="800" t="s">
        <v>677</v>
      </c>
      <c r="B165" s="800"/>
      <c r="C165" s="799" t="s">
        <v>684</v>
      </c>
      <c r="D165" s="799"/>
      <c r="E165" s="437"/>
      <c r="F165" s="437"/>
      <c r="G165" s="441"/>
    </row>
    <row r="166" spans="1:7" x14ac:dyDescent="0.25">
      <c r="A166" s="208"/>
      <c r="B166" s="208"/>
      <c r="C166" s="208"/>
      <c r="D166" s="208"/>
      <c r="E166" s="208"/>
      <c r="F166" s="208"/>
      <c r="G166" s="441"/>
    </row>
    <row r="167" spans="1:7" ht="18.75" x14ac:dyDescent="0.3">
      <c r="A167" s="859" t="s">
        <v>733</v>
      </c>
      <c r="B167" s="859"/>
      <c r="C167" s="859"/>
      <c r="D167" s="859"/>
      <c r="E167" s="859"/>
      <c r="F167" s="859"/>
      <c r="G167" s="859"/>
    </row>
    <row r="168" spans="1:7" x14ac:dyDescent="0.25">
      <c r="A168" s="208"/>
      <c r="B168" s="208"/>
      <c r="C168" s="208"/>
      <c r="D168" s="208"/>
      <c r="E168" s="208"/>
      <c r="F168" s="208"/>
      <c r="G168" s="208"/>
    </row>
    <row r="169" spans="1:7" x14ac:dyDescent="0.25">
      <c r="A169" s="860" t="s">
        <v>23</v>
      </c>
      <c r="B169" s="768" t="s">
        <v>686</v>
      </c>
      <c r="C169" s="768" t="s">
        <v>687</v>
      </c>
      <c r="D169" s="768" t="s">
        <v>61</v>
      </c>
      <c r="E169" s="768" t="s">
        <v>688</v>
      </c>
      <c r="F169" s="768" t="s">
        <v>31</v>
      </c>
      <c r="G169" s="208"/>
    </row>
    <row r="170" spans="1:7" x14ac:dyDescent="0.25">
      <c r="A170" s="861"/>
      <c r="B170" s="768"/>
      <c r="C170" s="768"/>
      <c r="D170" s="768"/>
      <c r="E170" s="768"/>
      <c r="F170" s="768"/>
      <c r="G170" s="208"/>
    </row>
    <row r="171" spans="1:7" x14ac:dyDescent="0.25">
      <c r="A171" s="415">
        <v>1</v>
      </c>
      <c r="B171" s="415">
        <v>2</v>
      </c>
      <c r="C171" s="415">
        <v>3</v>
      </c>
      <c r="D171" s="415">
        <v>4</v>
      </c>
      <c r="E171" s="415">
        <v>5</v>
      </c>
      <c r="F171" s="415">
        <v>6</v>
      </c>
      <c r="G171" s="208"/>
    </row>
    <row r="172" spans="1:7" x14ac:dyDescent="0.25">
      <c r="A172" s="5">
        <v>1</v>
      </c>
      <c r="B172" s="5" t="s">
        <v>734</v>
      </c>
      <c r="C172" s="5">
        <v>1</v>
      </c>
      <c r="D172" s="5">
        <v>12</v>
      </c>
      <c r="E172" s="442">
        <v>26333</v>
      </c>
      <c r="F172" s="442">
        <f>E172*D172*C172</f>
        <v>315996</v>
      </c>
      <c r="G172" s="208"/>
    </row>
    <row r="173" spans="1:7" x14ac:dyDescent="0.25">
      <c r="A173" s="838" t="s">
        <v>344</v>
      </c>
      <c r="B173" s="838"/>
      <c r="C173" s="5"/>
      <c r="D173" s="5"/>
      <c r="E173" s="442"/>
      <c r="F173" s="442">
        <f>F172</f>
        <v>315996</v>
      </c>
      <c r="G173" s="208"/>
    </row>
    <row r="176" spans="1:7" ht="18.75" x14ac:dyDescent="0.3">
      <c r="A176" s="478" t="s">
        <v>735</v>
      </c>
      <c r="B176" s="294"/>
      <c r="C176" s="294"/>
      <c r="D176" s="294"/>
      <c r="E176" s="294"/>
      <c r="F176" s="294"/>
    </row>
    <row r="177" spans="1:6" x14ac:dyDescent="0.25">
      <c r="A177" s="479"/>
      <c r="B177" s="479"/>
      <c r="C177" s="479"/>
      <c r="D177" s="479"/>
      <c r="E177" s="480"/>
      <c r="F177" s="208"/>
    </row>
    <row r="178" spans="1:6" ht="18.75" customHeight="1" x14ac:dyDescent="0.3">
      <c r="A178" s="435" t="s">
        <v>19</v>
      </c>
      <c r="B178" s="435"/>
      <c r="C178" s="840" t="s">
        <v>730</v>
      </c>
      <c r="D178" s="840"/>
      <c r="E178" s="840"/>
      <c r="F178" s="840"/>
    </row>
    <row r="179" spans="1:6" ht="18.75" x14ac:dyDescent="0.3">
      <c r="A179" s="436" t="s">
        <v>675</v>
      </c>
      <c r="B179" s="435"/>
      <c r="C179" s="799" t="s">
        <v>683</v>
      </c>
      <c r="D179" s="799"/>
      <c r="E179" s="799"/>
      <c r="F179" s="799"/>
    </row>
    <row r="180" spans="1:6" ht="18.75" x14ac:dyDescent="0.3">
      <c r="A180" s="800" t="s">
        <v>677</v>
      </c>
      <c r="B180" s="800"/>
      <c r="C180" s="799" t="s">
        <v>684</v>
      </c>
      <c r="D180" s="799"/>
      <c r="E180" s="437"/>
      <c r="F180" s="437"/>
    </row>
    <row r="181" spans="1:6" x14ac:dyDescent="0.25">
      <c r="A181" s="208"/>
      <c r="B181" s="208"/>
      <c r="C181" s="208"/>
      <c r="D181" s="208"/>
      <c r="E181" s="208"/>
      <c r="F181" s="208"/>
    </row>
    <row r="182" spans="1:6" x14ac:dyDescent="0.25">
      <c r="A182" s="872"/>
      <c r="B182" s="872"/>
      <c r="C182" s="872"/>
      <c r="D182" s="872"/>
      <c r="E182" s="872"/>
      <c r="F182" s="872"/>
    </row>
    <row r="183" spans="1:6" x14ac:dyDescent="0.25">
      <c r="A183" s="872"/>
      <c r="B183" s="872"/>
      <c r="C183" s="872"/>
      <c r="D183" s="872"/>
      <c r="E183" s="872"/>
      <c r="F183" s="872"/>
    </row>
    <row r="184" spans="1:6" x14ac:dyDescent="0.25">
      <c r="A184" s="847" t="s">
        <v>23</v>
      </c>
      <c r="B184" s="793" t="s">
        <v>30</v>
      </c>
      <c r="C184" s="793" t="s">
        <v>694</v>
      </c>
      <c r="D184" s="793" t="s">
        <v>78</v>
      </c>
      <c r="E184" s="793" t="s">
        <v>695</v>
      </c>
      <c r="F184" s="208"/>
    </row>
    <row r="185" spans="1:6" x14ac:dyDescent="0.25">
      <c r="A185" s="848"/>
      <c r="B185" s="793"/>
      <c r="C185" s="793"/>
      <c r="D185" s="793"/>
      <c r="E185" s="793"/>
      <c r="F185" s="208"/>
    </row>
    <row r="186" spans="1:6" x14ac:dyDescent="0.25">
      <c r="A186" s="418">
        <v>1</v>
      </c>
      <c r="B186" s="418">
        <v>2</v>
      </c>
      <c r="C186" s="418">
        <v>3</v>
      </c>
      <c r="D186" s="418">
        <v>4</v>
      </c>
      <c r="E186" s="418">
        <v>5</v>
      </c>
      <c r="F186" s="208"/>
    </row>
    <row r="187" spans="1:6" x14ac:dyDescent="0.25">
      <c r="A187" s="5">
        <v>1</v>
      </c>
      <c r="B187" s="5" t="s">
        <v>736</v>
      </c>
      <c r="C187" s="5">
        <v>19</v>
      </c>
      <c r="D187" s="442">
        <v>1100.02</v>
      </c>
      <c r="E187" s="442">
        <f>ROUND(D187*C187,0)</f>
        <v>20900</v>
      </c>
      <c r="F187" s="208"/>
    </row>
    <row r="188" spans="1:6" x14ac:dyDescent="0.25">
      <c r="A188" s="5">
        <v>2</v>
      </c>
      <c r="B188" s="5" t="s">
        <v>737</v>
      </c>
      <c r="C188" s="5">
        <v>31</v>
      </c>
      <c r="D188" s="442">
        <v>1400</v>
      </c>
      <c r="E188" s="442">
        <f>ROUND(D188*C188,0)</f>
        <v>43400</v>
      </c>
      <c r="F188" s="208"/>
    </row>
    <row r="189" spans="1:6" x14ac:dyDescent="0.25">
      <c r="A189" s="5">
        <v>3</v>
      </c>
      <c r="B189" s="5" t="s">
        <v>738</v>
      </c>
      <c r="C189" s="5">
        <v>10</v>
      </c>
      <c r="D189" s="442">
        <v>1559.9</v>
      </c>
      <c r="E189" s="442">
        <f>ROUND(D189*C189,0)</f>
        <v>15599</v>
      </c>
      <c r="F189" s="208"/>
    </row>
    <row r="190" spans="1:6" x14ac:dyDescent="0.25">
      <c r="A190" s="838" t="s">
        <v>344</v>
      </c>
      <c r="B190" s="838"/>
      <c r="C190" s="5"/>
      <c r="D190" s="442"/>
      <c r="E190" s="442">
        <f>SUM(E187:E189)+0.49</f>
        <v>79899.490000000005</v>
      </c>
      <c r="F190" s="481"/>
    </row>
    <row r="193" spans="1:6" x14ac:dyDescent="0.25">
      <c r="A193" s="869"/>
      <c r="B193" s="869"/>
      <c r="C193" s="869"/>
      <c r="D193" s="869"/>
      <c r="E193" s="869"/>
      <c r="F193" s="869"/>
    </row>
    <row r="194" spans="1:6" ht="28.5" customHeight="1" x14ac:dyDescent="0.25">
      <c r="A194" s="869"/>
      <c r="B194" s="869"/>
      <c r="C194" s="869"/>
      <c r="D194" s="869"/>
      <c r="E194" s="869"/>
      <c r="F194" s="869"/>
    </row>
    <row r="195" spans="1:6" ht="18.75" x14ac:dyDescent="0.3">
      <c r="A195" s="475"/>
      <c r="B195" s="475"/>
      <c r="C195" s="475"/>
      <c r="D195" s="475"/>
      <c r="E195" s="475"/>
      <c r="F195" s="475"/>
    </row>
    <row r="196" spans="1:6" x14ac:dyDescent="0.25">
      <c r="A196" s="862" t="s">
        <v>739</v>
      </c>
      <c r="B196" s="862"/>
      <c r="C196" s="862"/>
      <c r="D196" s="862"/>
      <c r="E196" s="862"/>
      <c r="F196" s="862"/>
    </row>
    <row r="197" spans="1:6" ht="23.25" customHeight="1" x14ac:dyDescent="0.25">
      <c r="A197" s="862"/>
      <c r="B197" s="862"/>
      <c r="C197" s="862"/>
      <c r="D197" s="862"/>
      <c r="E197" s="862"/>
      <c r="F197" s="862"/>
    </row>
    <row r="198" spans="1:6" ht="18.75" x14ac:dyDescent="0.3">
      <c r="A198" s="208"/>
      <c r="B198" s="798" t="s">
        <v>984</v>
      </c>
      <c r="C198" s="798"/>
      <c r="D198" s="208" t="s">
        <v>988</v>
      </c>
      <c r="E198" s="208"/>
      <c r="F198" s="208"/>
    </row>
    <row r="199" spans="1:6" x14ac:dyDescent="0.25">
      <c r="A199" s="847" t="s">
        <v>23</v>
      </c>
      <c r="B199" s="793" t="s">
        <v>30</v>
      </c>
      <c r="C199" s="793" t="s">
        <v>694</v>
      </c>
      <c r="D199" s="793" t="s">
        <v>78</v>
      </c>
      <c r="E199" s="793" t="s">
        <v>695</v>
      </c>
      <c r="F199" s="208"/>
    </row>
    <row r="200" spans="1:6" x14ac:dyDescent="0.25">
      <c r="A200" s="848"/>
      <c r="B200" s="793"/>
      <c r="C200" s="793"/>
      <c r="D200" s="793"/>
      <c r="E200" s="793"/>
      <c r="F200" s="208"/>
    </row>
    <row r="201" spans="1:6" x14ac:dyDescent="0.25">
      <c r="A201" s="418">
        <v>1</v>
      </c>
      <c r="B201" s="418">
        <v>2</v>
      </c>
      <c r="C201" s="418">
        <v>3</v>
      </c>
      <c r="D201" s="418">
        <v>4</v>
      </c>
      <c r="E201" s="418">
        <v>5</v>
      </c>
      <c r="F201" s="208"/>
    </row>
    <row r="202" spans="1:6" x14ac:dyDescent="0.25">
      <c r="A202" s="415">
        <v>1</v>
      </c>
      <c r="B202" s="482" t="s">
        <v>740</v>
      </c>
      <c r="C202" s="483">
        <v>2</v>
      </c>
      <c r="D202" s="484">
        <v>1800</v>
      </c>
      <c r="E202" s="442">
        <f>D202*C202</f>
        <v>3600</v>
      </c>
      <c r="F202" s="208"/>
    </row>
    <row r="203" spans="1:6" x14ac:dyDescent="0.25">
      <c r="A203" s="415">
        <v>2</v>
      </c>
      <c r="B203" s="485" t="s">
        <v>741</v>
      </c>
      <c r="C203" s="486">
        <v>2</v>
      </c>
      <c r="D203" s="487">
        <v>1800</v>
      </c>
      <c r="E203" s="442">
        <f t="shared" ref="E203:E228" si="1">D203*C203</f>
        <v>3600</v>
      </c>
      <c r="F203" s="208"/>
    </row>
    <row r="204" spans="1:6" x14ac:dyDescent="0.25">
      <c r="A204" s="415">
        <v>3</v>
      </c>
      <c r="B204" s="482" t="s">
        <v>742</v>
      </c>
      <c r="C204" s="483">
        <v>2</v>
      </c>
      <c r="D204" s="484">
        <v>1800</v>
      </c>
      <c r="E204" s="442">
        <f t="shared" si="1"/>
        <v>3600</v>
      </c>
      <c r="F204" s="208"/>
    </row>
    <row r="205" spans="1:6" ht="26.25" x14ac:dyDescent="0.25">
      <c r="A205" s="415">
        <v>4</v>
      </c>
      <c r="B205" s="488" t="s">
        <v>743</v>
      </c>
      <c r="C205" s="489">
        <v>1</v>
      </c>
      <c r="D205" s="490">
        <v>1600</v>
      </c>
      <c r="E205" s="442">
        <f t="shared" si="1"/>
        <v>1600</v>
      </c>
      <c r="F205" s="208"/>
    </row>
    <row r="206" spans="1:6" ht="26.25" x14ac:dyDescent="0.25">
      <c r="A206" s="415">
        <v>5</v>
      </c>
      <c r="B206" s="491" t="s">
        <v>744</v>
      </c>
      <c r="C206" s="489">
        <v>1</v>
      </c>
      <c r="D206" s="490">
        <v>2300</v>
      </c>
      <c r="E206" s="442">
        <f t="shared" si="1"/>
        <v>2300</v>
      </c>
      <c r="F206" s="208"/>
    </row>
    <row r="207" spans="1:6" x14ac:dyDescent="0.25">
      <c r="A207" s="415">
        <v>6</v>
      </c>
      <c r="B207" s="229" t="s">
        <v>745</v>
      </c>
      <c r="C207" s="420">
        <v>5</v>
      </c>
      <c r="D207" s="450">
        <v>300</v>
      </c>
      <c r="E207" s="442">
        <f t="shared" si="1"/>
        <v>1500</v>
      </c>
      <c r="F207" s="208"/>
    </row>
    <row r="208" spans="1:6" x14ac:dyDescent="0.25">
      <c r="A208" s="415">
        <v>7</v>
      </c>
      <c r="B208" s="449" t="s">
        <v>746</v>
      </c>
      <c r="C208" s="420">
        <v>60</v>
      </c>
      <c r="D208" s="450">
        <v>20</v>
      </c>
      <c r="E208" s="442">
        <f t="shared" si="1"/>
        <v>1200</v>
      </c>
      <c r="F208" s="208"/>
    </row>
    <row r="209" spans="1:6" x14ac:dyDescent="0.25">
      <c r="A209" s="415">
        <v>8</v>
      </c>
      <c r="B209" s="492" t="s">
        <v>747</v>
      </c>
      <c r="C209" s="420">
        <v>30</v>
      </c>
      <c r="D209" s="450">
        <v>50</v>
      </c>
      <c r="E209" s="442">
        <f t="shared" si="1"/>
        <v>1500</v>
      </c>
      <c r="F209" s="208"/>
    </row>
    <row r="210" spans="1:6" ht="26.25" x14ac:dyDescent="0.25">
      <c r="A210" s="415">
        <v>9</v>
      </c>
      <c r="B210" s="492" t="s">
        <v>748</v>
      </c>
      <c r="C210" s="420">
        <v>10</v>
      </c>
      <c r="D210" s="450">
        <v>150</v>
      </c>
      <c r="E210" s="442">
        <f t="shared" si="1"/>
        <v>1500</v>
      </c>
      <c r="F210" s="208"/>
    </row>
    <row r="211" spans="1:6" ht="25.5" x14ac:dyDescent="0.25">
      <c r="A211" s="415">
        <v>10</v>
      </c>
      <c r="B211" s="419" t="s">
        <v>749</v>
      </c>
      <c r="C211" s="420">
        <v>5</v>
      </c>
      <c r="D211" s="450">
        <v>300</v>
      </c>
      <c r="E211" s="442">
        <f t="shared" si="1"/>
        <v>1500</v>
      </c>
      <c r="F211" s="208"/>
    </row>
    <row r="212" spans="1:6" x14ac:dyDescent="0.25">
      <c r="A212" s="415">
        <v>11</v>
      </c>
      <c r="B212" s="223" t="s">
        <v>750</v>
      </c>
      <c r="C212" s="420">
        <v>50</v>
      </c>
      <c r="D212" s="450">
        <v>300</v>
      </c>
      <c r="E212" s="442">
        <f t="shared" si="1"/>
        <v>15000</v>
      </c>
      <c r="F212" s="208"/>
    </row>
    <row r="213" spans="1:6" x14ac:dyDescent="0.25">
      <c r="A213" s="415">
        <v>12</v>
      </c>
      <c r="B213" s="223" t="s">
        <v>751</v>
      </c>
      <c r="C213" s="451">
        <v>5</v>
      </c>
      <c r="D213" s="452">
        <v>160</v>
      </c>
      <c r="E213" s="442">
        <f t="shared" si="1"/>
        <v>800</v>
      </c>
      <c r="F213" s="208"/>
    </row>
    <row r="214" spans="1:6" x14ac:dyDescent="0.25">
      <c r="A214" s="415">
        <v>13</v>
      </c>
      <c r="B214" s="223" t="s">
        <v>752</v>
      </c>
      <c r="C214" s="451">
        <v>6</v>
      </c>
      <c r="D214" s="452">
        <v>160</v>
      </c>
      <c r="E214" s="442">
        <f t="shared" si="1"/>
        <v>960</v>
      </c>
      <c r="F214" s="208"/>
    </row>
    <row r="215" spans="1:6" x14ac:dyDescent="0.25">
      <c r="A215" s="415">
        <v>14</v>
      </c>
      <c r="B215" s="223" t="s">
        <v>753</v>
      </c>
      <c r="C215" s="451">
        <v>3</v>
      </c>
      <c r="D215" s="452">
        <v>170</v>
      </c>
      <c r="E215" s="442">
        <f t="shared" si="1"/>
        <v>510</v>
      </c>
      <c r="F215" s="208"/>
    </row>
    <row r="216" spans="1:6" x14ac:dyDescent="0.25">
      <c r="A216" s="415">
        <v>15</v>
      </c>
      <c r="B216" s="223" t="s">
        <v>754</v>
      </c>
      <c r="C216" s="451">
        <v>6</v>
      </c>
      <c r="D216" s="452">
        <v>110</v>
      </c>
      <c r="E216" s="442">
        <f t="shared" si="1"/>
        <v>660</v>
      </c>
      <c r="F216" s="208"/>
    </row>
    <row r="217" spans="1:6" x14ac:dyDescent="0.25">
      <c r="A217" s="415">
        <v>16</v>
      </c>
      <c r="B217" s="223" t="s">
        <v>755</v>
      </c>
      <c r="C217" s="451">
        <v>10</v>
      </c>
      <c r="D217" s="452">
        <v>110</v>
      </c>
      <c r="E217" s="442">
        <f t="shared" si="1"/>
        <v>1100</v>
      </c>
      <c r="F217" s="208"/>
    </row>
    <row r="218" spans="1:6" x14ac:dyDescent="0.25">
      <c r="A218" s="415">
        <v>17</v>
      </c>
      <c r="B218" s="216" t="s">
        <v>756</v>
      </c>
      <c r="C218" s="420">
        <v>20</v>
      </c>
      <c r="D218" s="450">
        <v>100</v>
      </c>
      <c r="E218" s="442">
        <f t="shared" si="1"/>
        <v>2000</v>
      </c>
      <c r="F218" s="208"/>
    </row>
    <row r="219" spans="1:6" ht="26.25" x14ac:dyDescent="0.25">
      <c r="A219" s="415">
        <v>18</v>
      </c>
      <c r="B219" s="493" t="s">
        <v>757</v>
      </c>
      <c r="C219" s="494">
        <v>10</v>
      </c>
      <c r="D219" s="495">
        <v>100</v>
      </c>
      <c r="E219" s="442">
        <f t="shared" si="1"/>
        <v>1000</v>
      </c>
      <c r="F219" s="208"/>
    </row>
    <row r="220" spans="1:6" x14ac:dyDescent="0.25">
      <c r="A220" s="415">
        <v>19</v>
      </c>
      <c r="B220" s="223" t="s">
        <v>758</v>
      </c>
      <c r="C220" s="451">
        <v>10</v>
      </c>
      <c r="D220" s="452">
        <v>170</v>
      </c>
      <c r="E220" s="442">
        <f t="shared" si="1"/>
        <v>1700</v>
      </c>
      <c r="F220" s="208"/>
    </row>
    <row r="221" spans="1:6" x14ac:dyDescent="0.25">
      <c r="A221" s="415">
        <v>20</v>
      </c>
      <c r="B221" s="223" t="s">
        <v>759</v>
      </c>
      <c r="C221" s="451">
        <v>20</v>
      </c>
      <c r="D221" s="452">
        <v>300</v>
      </c>
      <c r="E221" s="442">
        <f t="shared" si="1"/>
        <v>6000</v>
      </c>
      <c r="F221" s="208"/>
    </row>
    <row r="222" spans="1:6" x14ac:dyDescent="0.25">
      <c r="A222" s="415">
        <v>21</v>
      </c>
      <c r="B222" s="229" t="s">
        <v>760</v>
      </c>
      <c r="C222" s="420">
        <v>10</v>
      </c>
      <c r="D222" s="450">
        <v>50</v>
      </c>
      <c r="E222" s="442">
        <f t="shared" si="1"/>
        <v>500</v>
      </c>
      <c r="F222" s="208"/>
    </row>
    <row r="223" spans="1:6" x14ac:dyDescent="0.25">
      <c r="A223" s="415">
        <v>22</v>
      </c>
      <c r="B223" s="229" t="s">
        <v>761</v>
      </c>
      <c r="C223" s="420">
        <v>15</v>
      </c>
      <c r="D223" s="450">
        <v>220</v>
      </c>
      <c r="E223" s="442">
        <f t="shared" si="1"/>
        <v>3300</v>
      </c>
      <c r="F223" s="208"/>
    </row>
    <row r="224" spans="1:6" x14ac:dyDescent="0.25">
      <c r="A224" s="415">
        <v>23</v>
      </c>
      <c r="B224" s="229" t="s">
        <v>762</v>
      </c>
      <c r="C224" s="420">
        <v>10</v>
      </c>
      <c r="D224" s="450">
        <v>60</v>
      </c>
      <c r="E224" s="442">
        <f t="shared" si="1"/>
        <v>600</v>
      </c>
      <c r="F224" s="208"/>
    </row>
    <row r="225" spans="1:6" ht="39" x14ac:dyDescent="0.25">
      <c r="A225" s="415">
        <v>24</v>
      </c>
      <c r="B225" s="216" t="s">
        <v>763</v>
      </c>
      <c r="C225" s="420">
        <v>1</v>
      </c>
      <c r="D225" s="450">
        <v>2185</v>
      </c>
      <c r="E225" s="442">
        <f t="shared" si="1"/>
        <v>2185</v>
      </c>
      <c r="F225" s="208"/>
    </row>
    <row r="226" spans="1:6" ht="26.25" x14ac:dyDescent="0.25">
      <c r="A226" s="415">
        <v>25</v>
      </c>
      <c r="B226" s="491" t="s">
        <v>764</v>
      </c>
      <c r="C226" s="489">
        <v>1</v>
      </c>
      <c r="D226" s="490">
        <v>2500</v>
      </c>
      <c r="E226" s="442">
        <f t="shared" si="1"/>
        <v>2500</v>
      </c>
      <c r="F226" s="208"/>
    </row>
    <row r="227" spans="1:6" ht="26.25" x14ac:dyDescent="0.25">
      <c r="A227" s="415">
        <v>26</v>
      </c>
      <c r="B227" s="496" t="s">
        <v>765</v>
      </c>
      <c r="C227" s="489">
        <v>1</v>
      </c>
      <c r="D227" s="490">
        <v>2500</v>
      </c>
      <c r="E227" s="442">
        <f t="shared" si="1"/>
        <v>2500</v>
      </c>
      <c r="F227" s="208"/>
    </row>
    <row r="228" spans="1:6" x14ac:dyDescent="0.25">
      <c r="A228" s="415">
        <v>27</v>
      </c>
      <c r="B228" s="229" t="s">
        <v>766</v>
      </c>
      <c r="C228" s="420">
        <v>10</v>
      </c>
      <c r="D228" s="450">
        <v>50</v>
      </c>
      <c r="E228" s="442">
        <f t="shared" si="1"/>
        <v>500</v>
      </c>
      <c r="F228" s="208"/>
    </row>
    <row r="229" spans="1:6" x14ac:dyDescent="0.25">
      <c r="A229" s="838" t="s">
        <v>344</v>
      </c>
      <c r="B229" s="838"/>
      <c r="C229" s="5"/>
      <c r="D229" s="5"/>
      <c r="E229" s="457">
        <f>SUM(E202:E228)</f>
        <v>63715</v>
      </c>
      <c r="F229" s="208"/>
    </row>
    <row r="232" spans="1:6" ht="18.75" x14ac:dyDescent="0.3">
      <c r="A232" s="478" t="s">
        <v>767</v>
      </c>
      <c r="B232" s="208"/>
      <c r="C232" s="208"/>
      <c r="D232" s="208"/>
      <c r="E232" s="208"/>
      <c r="F232" s="208"/>
    </row>
    <row r="233" spans="1:6" x14ac:dyDescent="0.25">
      <c r="A233" s="208"/>
      <c r="B233" s="208"/>
      <c r="C233" s="208"/>
      <c r="D233" s="208"/>
      <c r="E233" s="208"/>
      <c r="F233" s="208"/>
    </row>
    <row r="234" spans="1:6" ht="18.75" customHeight="1" x14ac:dyDescent="0.3">
      <c r="A234" s="435" t="s">
        <v>19</v>
      </c>
      <c r="B234" s="435"/>
      <c r="C234" s="840" t="s">
        <v>768</v>
      </c>
      <c r="D234" s="840"/>
      <c r="E234" s="840"/>
      <c r="F234" s="439"/>
    </row>
    <row r="235" spans="1:6" ht="18.75" x14ac:dyDescent="0.3">
      <c r="A235" s="436" t="s">
        <v>675</v>
      </c>
      <c r="B235" s="435"/>
      <c r="C235" s="799" t="s">
        <v>683</v>
      </c>
      <c r="D235" s="799"/>
      <c r="E235" s="799"/>
      <c r="F235" s="799"/>
    </row>
    <row r="236" spans="1:6" ht="18.75" x14ac:dyDescent="0.3">
      <c r="A236" s="800" t="s">
        <v>677</v>
      </c>
      <c r="B236" s="800"/>
      <c r="C236" s="799" t="s">
        <v>684</v>
      </c>
      <c r="D236" s="799"/>
      <c r="E236" s="437"/>
      <c r="F236" s="437"/>
    </row>
    <row r="237" spans="1:6" x14ac:dyDescent="0.25">
      <c r="A237" s="208"/>
      <c r="B237" s="208"/>
      <c r="C237" s="208"/>
      <c r="D237" s="208"/>
      <c r="E237" s="208"/>
      <c r="F237" s="208"/>
    </row>
    <row r="238" spans="1:6" x14ac:dyDescent="0.25">
      <c r="A238" s="872"/>
      <c r="B238" s="872"/>
      <c r="C238" s="872"/>
      <c r="D238" s="872"/>
      <c r="E238" s="872"/>
      <c r="F238" s="872"/>
    </row>
    <row r="239" spans="1:6" x14ac:dyDescent="0.25">
      <c r="A239" s="872"/>
      <c r="B239" s="872"/>
      <c r="C239" s="872"/>
      <c r="D239" s="872"/>
      <c r="E239" s="872"/>
      <c r="F239" s="872"/>
    </row>
    <row r="240" spans="1:6" x14ac:dyDescent="0.25">
      <c r="A240" s="847" t="s">
        <v>23</v>
      </c>
      <c r="B240" s="793" t="s">
        <v>30</v>
      </c>
      <c r="C240" s="793" t="s">
        <v>694</v>
      </c>
      <c r="D240" s="793" t="s">
        <v>78</v>
      </c>
      <c r="E240" s="793" t="s">
        <v>695</v>
      </c>
      <c r="F240" s="208"/>
    </row>
    <row r="241" spans="1:12" x14ac:dyDescent="0.25">
      <c r="A241" s="848"/>
      <c r="B241" s="793"/>
      <c r="C241" s="793"/>
      <c r="D241" s="793"/>
      <c r="E241" s="793"/>
      <c r="F241" s="208"/>
    </row>
    <row r="242" spans="1:12" x14ac:dyDescent="0.25">
      <c r="A242" s="418">
        <v>1</v>
      </c>
      <c r="B242" s="418">
        <v>2</v>
      </c>
      <c r="C242" s="418">
        <v>3</v>
      </c>
      <c r="D242" s="418">
        <v>4</v>
      </c>
      <c r="E242" s="418">
        <v>5</v>
      </c>
      <c r="F242" s="208"/>
    </row>
    <row r="243" spans="1:12" ht="26.25" x14ac:dyDescent="0.25">
      <c r="A243" s="418">
        <v>1</v>
      </c>
      <c r="B243" s="497" t="s">
        <v>769</v>
      </c>
      <c r="C243" s="498">
        <v>2</v>
      </c>
      <c r="D243" s="499">
        <v>1400</v>
      </c>
      <c r="E243" s="418">
        <f>C243*D243</f>
        <v>2800</v>
      </c>
      <c r="F243" s="208"/>
    </row>
    <row r="244" spans="1:12" x14ac:dyDescent="0.25">
      <c r="A244" s="415">
        <v>2</v>
      </c>
      <c r="B244" s="216" t="s">
        <v>770</v>
      </c>
      <c r="C244" s="500">
        <v>4</v>
      </c>
      <c r="D244" s="501">
        <v>550</v>
      </c>
      <c r="E244" s="418">
        <f>C244*D244</f>
        <v>2200</v>
      </c>
      <c r="F244" s="208"/>
    </row>
    <row r="245" spans="1:12" x14ac:dyDescent="0.25">
      <c r="A245" s="838" t="s">
        <v>344</v>
      </c>
      <c r="B245" s="838"/>
      <c r="C245" s="5"/>
      <c r="D245" s="442"/>
      <c r="E245" s="442">
        <f>SUM(E243:E244)</f>
        <v>5000</v>
      </c>
      <c r="F245" s="208"/>
    </row>
    <row r="248" spans="1:12" x14ac:dyDescent="0.25">
      <c r="A248" s="855" t="s">
        <v>430</v>
      </c>
      <c r="B248" s="855"/>
      <c r="C248" s="855"/>
      <c r="D248" s="855"/>
      <c r="E248" s="855"/>
      <c r="F248" s="855"/>
      <c r="G248" s="855"/>
      <c r="H248" s="855"/>
      <c r="I248" s="855"/>
      <c r="J248" s="855"/>
      <c r="K248" s="855"/>
      <c r="L248" s="855"/>
    </row>
    <row r="249" spans="1:12" x14ac:dyDescent="0.25">
      <c r="A249" s="458" t="s">
        <v>19</v>
      </c>
      <c r="B249" s="458"/>
      <c r="C249" s="458"/>
      <c r="D249" s="459"/>
      <c r="E249" s="459"/>
      <c r="F249" s="863" t="s">
        <v>771</v>
      </c>
      <c r="G249" s="863"/>
      <c r="H249" s="863"/>
      <c r="I249" s="863"/>
      <c r="J249" s="460"/>
      <c r="K249" s="460"/>
      <c r="L249" s="458"/>
    </row>
    <row r="250" spans="1:12" x14ac:dyDescent="0.25">
      <c r="A250" s="458" t="s">
        <v>20</v>
      </c>
      <c r="B250" s="458"/>
      <c r="C250" s="458"/>
      <c r="D250" s="458"/>
      <c r="E250" s="458"/>
      <c r="F250" s="461" t="s">
        <v>706</v>
      </c>
      <c r="G250" s="461"/>
      <c r="H250" s="461"/>
      <c r="I250" s="461"/>
      <c r="J250" s="462"/>
      <c r="K250" s="462"/>
      <c r="L250" s="458"/>
    </row>
    <row r="251" spans="1:12" x14ac:dyDescent="0.25">
      <c r="A251" s="864" t="s">
        <v>22</v>
      </c>
      <c r="B251" s="864"/>
      <c r="C251" s="864"/>
      <c r="D251" s="864"/>
      <c r="E251" s="864"/>
      <c r="F251" s="463" t="s">
        <v>408</v>
      </c>
      <c r="G251" s="463"/>
      <c r="H251" s="463"/>
      <c r="I251" s="463"/>
      <c r="J251" s="462"/>
      <c r="K251" s="462"/>
      <c r="L251" s="458"/>
    </row>
    <row r="252" spans="1:12" x14ac:dyDescent="0.25">
      <c r="A252" s="865" t="s">
        <v>429</v>
      </c>
      <c r="B252" s="865"/>
      <c r="C252" s="865"/>
      <c r="D252" s="865"/>
      <c r="E252" s="865"/>
      <c r="F252" s="865"/>
      <c r="G252" s="865"/>
      <c r="H252" s="865"/>
      <c r="I252" s="865"/>
      <c r="J252" s="464"/>
      <c r="K252" s="458"/>
      <c r="L252" s="458"/>
    </row>
    <row r="253" spans="1:12" x14ac:dyDescent="0.25">
      <c r="A253" s="458"/>
      <c r="B253" s="458"/>
      <c r="C253" s="458"/>
      <c r="D253" s="458"/>
      <c r="E253" s="458"/>
      <c r="F253" s="458"/>
      <c r="G253" s="458"/>
      <c r="H253" s="458"/>
      <c r="I253" s="458"/>
      <c r="J253" s="458"/>
      <c r="K253" s="458"/>
      <c r="L253" s="458"/>
    </row>
    <row r="254" spans="1:12" x14ac:dyDescent="0.25">
      <c r="A254" s="866" t="s">
        <v>707</v>
      </c>
      <c r="B254" s="866"/>
      <c r="C254" s="866"/>
      <c r="D254" s="866"/>
      <c r="E254" s="866"/>
      <c r="F254" s="465">
        <v>30000</v>
      </c>
      <c r="G254" s="466"/>
      <c r="H254" s="458"/>
      <c r="I254" s="458"/>
      <c r="J254" s="458"/>
      <c r="K254" s="458"/>
      <c r="L254" s="458"/>
    </row>
    <row r="255" spans="1:12" x14ac:dyDescent="0.25">
      <c r="A255" s="866"/>
      <c r="B255" s="866"/>
      <c r="C255" s="866"/>
      <c r="D255" s="866"/>
      <c r="E255" s="866"/>
      <c r="F255" s="467">
        <f>F254</f>
        <v>30000</v>
      </c>
      <c r="G255" s="458"/>
      <c r="H255" s="458"/>
      <c r="I255" s="458"/>
      <c r="J255" s="458"/>
      <c r="K255" s="458"/>
      <c r="L255" s="458"/>
    </row>
    <row r="258" spans="1:7" ht="18.75" x14ac:dyDescent="0.3">
      <c r="A258" s="208"/>
      <c r="B258" s="873" t="s">
        <v>772</v>
      </c>
      <c r="C258" s="873"/>
      <c r="D258" s="873"/>
      <c r="E258" s="873"/>
      <c r="F258" s="873"/>
    </row>
    <row r="259" spans="1:7" ht="18.75" x14ac:dyDescent="0.3">
      <c r="A259" s="208"/>
      <c r="B259" s="502"/>
      <c r="C259" s="502"/>
      <c r="D259" s="502"/>
      <c r="E259" s="502"/>
      <c r="F259" s="502"/>
    </row>
    <row r="260" spans="1:7" ht="18.75" x14ac:dyDescent="0.3">
      <c r="A260" s="435" t="s">
        <v>19</v>
      </c>
      <c r="B260" s="435"/>
      <c r="C260" s="435"/>
      <c r="D260" s="874" t="s">
        <v>777</v>
      </c>
      <c r="E260" s="874"/>
      <c r="F260" s="874"/>
    </row>
    <row r="261" spans="1:7" ht="18.75" x14ac:dyDescent="0.3">
      <c r="A261" s="436" t="s">
        <v>675</v>
      </c>
      <c r="B261" s="435"/>
      <c r="C261" s="435"/>
      <c r="D261" s="868" t="s">
        <v>710</v>
      </c>
      <c r="E261" s="868"/>
      <c r="F261" s="868"/>
    </row>
    <row r="262" spans="1:7" ht="18.75" x14ac:dyDescent="0.3">
      <c r="A262" s="470" t="s">
        <v>677</v>
      </c>
      <c r="B262" s="470"/>
      <c r="C262" s="470"/>
      <c r="D262" s="471" t="s">
        <v>774</v>
      </c>
      <c r="E262" s="472"/>
      <c r="F262" s="472"/>
    </row>
    <row r="263" spans="1:7" ht="18.75" x14ac:dyDescent="0.3">
      <c r="A263" s="208"/>
      <c r="B263" s="443"/>
      <c r="C263" s="443"/>
      <c r="D263" s="443"/>
      <c r="E263" s="443"/>
      <c r="F263" s="443"/>
    </row>
    <row r="264" spans="1:7" ht="60" x14ac:dyDescent="0.25">
      <c r="A264" s="418" t="s">
        <v>23</v>
      </c>
      <c r="B264" s="418" t="s">
        <v>30</v>
      </c>
      <c r="C264" s="418" t="s">
        <v>397</v>
      </c>
      <c r="D264" s="418" t="s">
        <v>775</v>
      </c>
      <c r="E264" s="418" t="s">
        <v>398</v>
      </c>
      <c r="F264" s="418" t="s">
        <v>31</v>
      </c>
    </row>
    <row r="265" spans="1:7" x14ac:dyDescent="0.25">
      <c r="A265" s="418">
        <v>1</v>
      </c>
      <c r="B265" s="418">
        <v>2</v>
      </c>
      <c r="C265" s="418">
        <v>3</v>
      </c>
      <c r="D265" s="418">
        <v>4</v>
      </c>
      <c r="E265" s="418">
        <v>5</v>
      </c>
      <c r="F265" s="418">
        <v>6</v>
      </c>
    </row>
    <row r="266" spans="1:7" ht="60" x14ac:dyDescent="0.25">
      <c r="A266" s="5">
        <v>1</v>
      </c>
      <c r="B266" s="5" t="s">
        <v>776</v>
      </c>
      <c r="C266" s="5">
        <v>4</v>
      </c>
      <c r="D266" s="5">
        <v>12</v>
      </c>
      <c r="E266" s="442">
        <v>75</v>
      </c>
      <c r="F266" s="442">
        <f>1800-1500</f>
        <v>300</v>
      </c>
    </row>
    <row r="267" spans="1:7" x14ac:dyDescent="0.25">
      <c r="A267" s="838" t="s">
        <v>344</v>
      </c>
      <c r="B267" s="838"/>
      <c r="C267" s="5"/>
      <c r="D267" s="5"/>
      <c r="E267" s="5"/>
      <c r="F267" s="442">
        <f>F266</f>
        <v>300</v>
      </c>
    </row>
    <row r="268" spans="1:7" x14ac:dyDescent="0.25">
      <c r="A268" s="208"/>
      <c r="B268" s="208"/>
      <c r="C268" s="208"/>
      <c r="D268" s="208"/>
      <c r="E268" s="208"/>
      <c r="F268" s="208"/>
    </row>
    <row r="270" spans="1:7" ht="18.75" x14ac:dyDescent="0.3">
      <c r="A270" s="842" t="s">
        <v>778</v>
      </c>
      <c r="B270" s="842"/>
      <c r="C270" s="842"/>
      <c r="D270" s="842"/>
      <c r="E270" s="842"/>
      <c r="F270" s="842"/>
      <c r="G270" s="842"/>
    </row>
    <row r="271" spans="1:7" x14ac:dyDescent="0.25">
      <c r="A271" s="208"/>
      <c r="B271" s="208"/>
      <c r="C271" s="208"/>
      <c r="D271" s="208"/>
      <c r="E271" s="208"/>
      <c r="F271" s="208"/>
      <c r="G271" s="208"/>
    </row>
    <row r="272" spans="1:7" x14ac:dyDescent="0.25">
      <c r="A272" s="208"/>
      <c r="B272" s="208"/>
      <c r="C272" s="208"/>
      <c r="D272" s="208"/>
      <c r="E272" s="208"/>
      <c r="F272" s="208"/>
      <c r="G272" s="441"/>
    </row>
    <row r="273" spans="1:7" ht="18.75" x14ac:dyDescent="0.3">
      <c r="A273" s="859" t="s">
        <v>779</v>
      </c>
      <c r="B273" s="859"/>
      <c r="C273" s="859"/>
      <c r="D273" s="859"/>
      <c r="E273" s="859"/>
      <c r="F273" s="859"/>
      <c r="G273" s="859"/>
    </row>
    <row r="274" spans="1:7" ht="18.75" x14ac:dyDescent="0.3">
      <c r="A274" s="438"/>
      <c r="B274" s="438"/>
      <c r="C274" s="438"/>
      <c r="D274" s="438"/>
      <c r="E274" s="438"/>
      <c r="F274" s="438"/>
      <c r="G274" s="438"/>
    </row>
    <row r="275" spans="1:7" ht="18.75" customHeight="1" x14ac:dyDescent="0.3">
      <c r="A275" s="435" t="s">
        <v>19</v>
      </c>
      <c r="B275" s="435"/>
      <c r="C275" s="840" t="s">
        <v>780</v>
      </c>
      <c r="D275" s="840"/>
      <c r="E275" s="840"/>
      <c r="F275" s="439"/>
      <c r="G275" s="440"/>
    </row>
    <row r="276" spans="1:7" ht="18.75" x14ac:dyDescent="0.3">
      <c r="A276" s="436" t="s">
        <v>675</v>
      </c>
      <c r="B276" s="435"/>
      <c r="C276" s="799" t="s">
        <v>683</v>
      </c>
      <c r="D276" s="799"/>
      <c r="E276" s="799"/>
      <c r="F276" s="799"/>
      <c r="G276" s="440"/>
    </row>
    <row r="277" spans="1:7" ht="18.75" x14ac:dyDescent="0.3">
      <c r="A277" s="800" t="s">
        <v>677</v>
      </c>
      <c r="B277" s="800"/>
      <c r="C277" s="799" t="s">
        <v>774</v>
      </c>
      <c r="D277" s="799"/>
      <c r="E277" s="437"/>
      <c r="F277" s="437"/>
      <c r="G277" s="441"/>
    </row>
    <row r="278" spans="1:7" ht="18.75" x14ac:dyDescent="0.3">
      <c r="A278" s="438"/>
      <c r="B278" s="438"/>
      <c r="C278" s="438"/>
      <c r="D278" s="438"/>
      <c r="E278" s="438"/>
      <c r="F278" s="438"/>
      <c r="G278" s="438"/>
    </row>
    <row r="279" spans="1:7" x14ac:dyDescent="0.25">
      <c r="A279" s="860" t="s">
        <v>23</v>
      </c>
      <c r="B279" s="768" t="s">
        <v>686</v>
      </c>
      <c r="C279" s="768" t="s">
        <v>687</v>
      </c>
      <c r="D279" s="768" t="s">
        <v>61</v>
      </c>
      <c r="E279" s="768" t="s">
        <v>688</v>
      </c>
      <c r="F279" s="768" t="s">
        <v>31</v>
      </c>
      <c r="G279" s="208"/>
    </row>
    <row r="280" spans="1:7" x14ac:dyDescent="0.25">
      <c r="A280" s="861"/>
      <c r="B280" s="768"/>
      <c r="C280" s="768"/>
      <c r="D280" s="768"/>
      <c r="E280" s="768"/>
      <c r="F280" s="768"/>
      <c r="G280" s="208"/>
    </row>
    <row r="281" spans="1:7" x14ac:dyDescent="0.25">
      <c r="A281" s="415">
        <v>1</v>
      </c>
      <c r="B281" s="415">
        <v>2</v>
      </c>
      <c r="C281" s="415">
        <v>3</v>
      </c>
      <c r="D281" s="415">
        <v>4</v>
      </c>
      <c r="E281" s="415">
        <v>5</v>
      </c>
      <c r="F281" s="415">
        <v>6</v>
      </c>
      <c r="G281" s="208"/>
    </row>
    <row r="282" spans="1:7" ht="45" x14ac:dyDescent="0.25">
      <c r="A282" s="5">
        <v>1</v>
      </c>
      <c r="B282" s="5" t="s">
        <v>689</v>
      </c>
      <c r="C282" s="5">
        <v>1</v>
      </c>
      <c r="D282" s="5">
        <v>12</v>
      </c>
      <c r="E282" s="442">
        <v>6700</v>
      </c>
      <c r="F282" s="442">
        <f>E282*D282*C282</f>
        <v>80400</v>
      </c>
      <c r="G282" s="208"/>
    </row>
    <row r="283" spans="1:7" x14ac:dyDescent="0.25">
      <c r="A283" s="5">
        <v>2</v>
      </c>
      <c r="B283" s="5" t="s">
        <v>781</v>
      </c>
      <c r="C283" s="5"/>
      <c r="D283" s="5">
        <v>20</v>
      </c>
      <c r="E283" s="442">
        <v>20</v>
      </c>
      <c r="F283" s="442">
        <f>E283*D283</f>
        <v>400</v>
      </c>
      <c r="G283" s="208"/>
    </row>
    <row r="284" spans="1:7" x14ac:dyDescent="0.25">
      <c r="A284" s="838" t="s">
        <v>344</v>
      </c>
      <c r="B284" s="838"/>
      <c r="C284" s="5"/>
      <c r="D284" s="5"/>
      <c r="E284" s="442"/>
      <c r="F284" s="442">
        <f>F282+F283</f>
        <v>80800</v>
      </c>
      <c r="G284" s="208"/>
    </row>
    <row r="287" spans="1:7" ht="18.75" x14ac:dyDescent="0.3">
      <c r="A287" s="859" t="s">
        <v>782</v>
      </c>
      <c r="B287" s="859"/>
      <c r="C287" s="859"/>
      <c r="D287" s="859"/>
      <c r="E287" s="859"/>
      <c r="F287" s="859"/>
    </row>
    <row r="288" spans="1:7" ht="18.75" x14ac:dyDescent="0.3">
      <c r="A288" s="434"/>
      <c r="B288" s="434"/>
      <c r="C288" s="434"/>
      <c r="D288" s="434"/>
      <c r="E288" s="434"/>
      <c r="F288" s="434"/>
    </row>
    <row r="289" spans="1:8" ht="18.75" customHeight="1" x14ac:dyDescent="0.3">
      <c r="A289" s="435" t="s">
        <v>19</v>
      </c>
      <c r="B289" s="435"/>
      <c r="C289" s="840" t="s">
        <v>783</v>
      </c>
      <c r="D289" s="840"/>
      <c r="E289" s="840"/>
      <c r="F289" s="439"/>
    </row>
    <row r="290" spans="1:8" ht="18.75" x14ac:dyDescent="0.3">
      <c r="A290" s="436" t="s">
        <v>675</v>
      </c>
      <c r="B290" s="435"/>
      <c r="C290" s="799" t="s">
        <v>683</v>
      </c>
      <c r="D290" s="799"/>
      <c r="E290" s="799"/>
      <c r="F290" s="799"/>
    </row>
    <row r="291" spans="1:8" ht="18.75" x14ac:dyDescent="0.3">
      <c r="A291" s="800" t="s">
        <v>677</v>
      </c>
      <c r="B291" s="800"/>
      <c r="C291" s="799" t="s">
        <v>774</v>
      </c>
      <c r="D291" s="799"/>
      <c r="E291" s="437"/>
      <c r="F291" s="437"/>
    </row>
    <row r="292" spans="1:8" ht="18.75" x14ac:dyDescent="0.3">
      <c r="A292" s="438"/>
      <c r="B292" s="818" t="s">
        <v>1007</v>
      </c>
      <c r="C292" s="818"/>
      <c r="D292" s="438"/>
      <c r="E292" s="438"/>
      <c r="F292" s="438"/>
    </row>
    <row r="293" spans="1:8" x14ac:dyDescent="0.25">
      <c r="A293" s="860" t="s">
        <v>23</v>
      </c>
      <c r="B293" s="793" t="s">
        <v>30</v>
      </c>
      <c r="C293" s="793" t="s">
        <v>66</v>
      </c>
      <c r="D293" s="793" t="s">
        <v>719</v>
      </c>
      <c r="E293" s="793" t="s">
        <v>77</v>
      </c>
      <c r="F293" s="208"/>
    </row>
    <row r="294" spans="1:8" x14ac:dyDescent="0.25">
      <c r="A294" s="861"/>
      <c r="B294" s="793"/>
      <c r="C294" s="793"/>
      <c r="D294" s="793"/>
      <c r="E294" s="793"/>
      <c r="F294" s="208"/>
    </row>
    <row r="295" spans="1:8" x14ac:dyDescent="0.25">
      <c r="A295" s="418">
        <v>1</v>
      </c>
      <c r="B295" s="418">
        <v>2</v>
      </c>
      <c r="C295" s="418">
        <v>3</v>
      </c>
      <c r="D295" s="418">
        <v>4</v>
      </c>
      <c r="E295" s="418">
        <v>5</v>
      </c>
      <c r="F295" s="208"/>
    </row>
    <row r="296" spans="1:8" x14ac:dyDescent="0.25">
      <c r="A296" s="5">
        <v>2</v>
      </c>
      <c r="B296" s="5" t="s">
        <v>784</v>
      </c>
      <c r="C296" s="5">
        <v>2</v>
      </c>
      <c r="D296" s="442">
        <v>55000</v>
      </c>
      <c r="E296" s="442">
        <f>20000+90000</f>
        <v>110000</v>
      </c>
      <c r="F296" s="208"/>
    </row>
    <row r="297" spans="1:8" x14ac:dyDescent="0.25">
      <c r="A297" s="5">
        <v>3</v>
      </c>
      <c r="B297" s="5" t="s">
        <v>785</v>
      </c>
      <c r="C297" s="5">
        <v>1</v>
      </c>
      <c r="D297" s="442">
        <v>20000</v>
      </c>
      <c r="E297" s="442">
        <v>20000</v>
      </c>
      <c r="F297" s="208"/>
    </row>
    <row r="298" spans="1:8" x14ac:dyDescent="0.25">
      <c r="A298" s="5"/>
      <c r="B298" s="5"/>
      <c r="C298" s="5"/>
      <c r="D298" s="442"/>
      <c r="E298" s="442"/>
      <c r="F298" s="208"/>
    </row>
    <row r="299" spans="1:8" x14ac:dyDescent="0.25">
      <c r="A299" s="838" t="s">
        <v>407</v>
      </c>
      <c r="B299" s="838"/>
      <c r="C299" s="5"/>
      <c r="D299" s="442"/>
      <c r="E299" s="442">
        <f>E296+E297</f>
        <v>130000</v>
      </c>
      <c r="F299" s="208"/>
    </row>
    <row r="302" spans="1:8" ht="18.75" x14ac:dyDescent="0.3">
      <c r="A302" s="859" t="s">
        <v>786</v>
      </c>
      <c r="B302" s="859"/>
      <c r="C302" s="859"/>
      <c r="D302" s="859"/>
      <c r="E302" s="859"/>
      <c r="F302" s="859"/>
      <c r="G302" s="859"/>
      <c r="H302" s="859"/>
    </row>
    <row r="303" spans="1:8" ht="18.75" x14ac:dyDescent="0.3">
      <c r="A303" s="434"/>
      <c r="B303" s="434"/>
      <c r="C303" s="434"/>
      <c r="D303" s="434"/>
      <c r="E303" s="434"/>
      <c r="F303" s="434"/>
      <c r="G303" s="434"/>
      <c r="H303" s="434"/>
    </row>
    <row r="304" spans="1:8" ht="18.75" customHeight="1" x14ac:dyDescent="0.3">
      <c r="A304" s="435" t="s">
        <v>19</v>
      </c>
      <c r="B304" s="435"/>
      <c r="C304" s="840" t="s">
        <v>787</v>
      </c>
      <c r="D304" s="840"/>
      <c r="E304" s="840"/>
      <c r="F304" s="840"/>
      <c r="G304" s="434"/>
      <c r="H304" s="434"/>
    </row>
    <row r="305" spans="1:9" ht="18.75" x14ac:dyDescent="0.3">
      <c r="A305" s="436" t="s">
        <v>675</v>
      </c>
      <c r="B305" s="435"/>
      <c r="C305" s="799" t="s">
        <v>683</v>
      </c>
      <c r="D305" s="799"/>
      <c r="E305" s="799"/>
      <c r="F305" s="799"/>
      <c r="G305" s="434"/>
      <c r="H305" s="434"/>
    </row>
    <row r="306" spans="1:9" ht="18.75" x14ac:dyDescent="0.3">
      <c r="A306" s="800" t="s">
        <v>677</v>
      </c>
      <c r="B306" s="800"/>
      <c r="C306" s="799" t="s">
        <v>774</v>
      </c>
      <c r="D306" s="799"/>
      <c r="E306" s="437"/>
      <c r="F306" s="437"/>
      <c r="G306" s="438"/>
      <c r="H306" s="438"/>
    </row>
    <row r="307" spans="1:9" ht="18.75" x14ac:dyDescent="0.3">
      <c r="A307" s="438"/>
      <c r="B307" s="438"/>
      <c r="C307" s="438" t="s">
        <v>973</v>
      </c>
      <c r="D307" s="438"/>
      <c r="E307" s="438"/>
      <c r="F307" s="438"/>
      <c r="G307" s="438"/>
      <c r="H307" s="438"/>
    </row>
    <row r="308" spans="1:9" x14ac:dyDescent="0.25">
      <c r="A308" s="811" t="s">
        <v>23</v>
      </c>
      <c r="B308" s="801" t="s">
        <v>0</v>
      </c>
      <c r="C308" s="801" t="s">
        <v>67</v>
      </c>
      <c r="D308" s="801" t="s">
        <v>68</v>
      </c>
      <c r="E308" s="801" t="s">
        <v>69</v>
      </c>
      <c r="F308" s="801" t="s">
        <v>788</v>
      </c>
      <c r="G308" s="208"/>
      <c r="H308" s="208"/>
    </row>
    <row r="309" spans="1:9" ht="29.25" customHeight="1" x14ac:dyDescent="0.25">
      <c r="A309" s="813"/>
      <c r="B309" s="801"/>
      <c r="C309" s="801"/>
      <c r="D309" s="801"/>
      <c r="E309" s="801"/>
      <c r="F309" s="801"/>
      <c r="G309" s="208"/>
      <c r="H309" s="208"/>
    </row>
    <row r="310" spans="1:9" x14ac:dyDescent="0.25">
      <c r="A310" s="445">
        <v>1</v>
      </c>
      <c r="B310" s="445">
        <v>2</v>
      </c>
      <c r="C310" s="445">
        <v>3</v>
      </c>
      <c r="D310" s="445">
        <v>4</v>
      </c>
      <c r="E310" s="445">
        <v>5</v>
      </c>
      <c r="F310" s="445">
        <v>6</v>
      </c>
      <c r="G310" s="208"/>
      <c r="H310" s="208"/>
    </row>
    <row r="311" spans="1:9" ht="25.5" x14ac:dyDescent="0.25">
      <c r="A311" s="447">
        <v>1</v>
      </c>
      <c r="B311" s="447" t="s">
        <v>789</v>
      </c>
      <c r="C311" s="504">
        <f>46194.988/1000</f>
        <v>46.194987999999995</v>
      </c>
      <c r="D311" s="448">
        <v>8.5</v>
      </c>
      <c r="E311" s="446">
        <v>1</v>
      </c>
      <c r="F311" s="448">
        <v>707866.27</v>
      </c>
      <c r="G311" s="208"/>
      <c r="H311" s="208"/>
    </row>
    <row r="312" spans="1:9" x14ac:dyDescent="0.25">
      <c r="A312" s="447">
        <v>2</v>
      </c>
      <c r="B312" s="447" t="s">
        <v>790</v>
      </c>
      <c r="C312" s="447">
        <v>866.19</v>
      </c>
      <c r="D312" s="448">
        <f>F312/C312</f>
        <v>3124.0151352474631</v>
      </c>
      <c r="E312" s="446">
        <v>1</v>
      </c>
      <c r="F312" s="448">
        <f>2705991.22+38097.12-8097.67-30000</f>
        <v>2705990.6700000004</v>
      </c>
      <c r="G312" s="208"/>
      <c r="H312" s="208"/>
    </row>
    <row r="313" spans="1:9" x14ac:dyDescent="0.25">
      <c r="A313" s="447">
        <v>3</v>
      </c>
      <c r="B313" s="447" t="s">
        <v>791</v>
      </c>
      <c r="C313" s="447">
        <v>2209.4499999999998</v>
      </c>
      <c r="D313" s="448">
        <f>F313/C313</f>
        <v>55.920020819661012</v>
      </c>
      <c r="E313" s="446">
        <v>1</v>
      </c>
      <c r="F313" s="448">
        <f>123552.49</f>
        <v>123552.49</v>
      </c>
      <c r="G313" s="208"/>
      <c r="H313" s="208"/>
      <c r="I313" s="645"/>
    </row>
    <row r="314" spans="1:9" ht="25.5" x14ac:dyDescent="0.25">
      <c r="A314" s="447">
        <v>4</v>
      </c>
      <c r="B314" s="447" t="s">
        <v>792</v>
      </c>
      <c r="C314" s="447">
        <v>24</v>
      </c>
      <c r="D314" s="505">
        <f>F314/C314</f>
        <v>14583.333333333334</v>
      </c>
      <c r="E314" s="446">
        <v>1</v>
      </c>
      <c r="F314" s="506">
        <v>350000</v>
      </c>
      <c r="G314" s="208"/>
      <c r="H314" s="208"/>
    </row>
    <row r="315" spans="1:9" x14ac:dyDescent="0.25">
      <c r="A315" s="636">
        <v>5</v>
      </c>
      <c r="B315" s="636" t="s">
        <v>974</v>
      </c>
      <c r="C315" s="636">
        <v>18.062000000000001</v>
      </c>
      <c r="D315" s="448">
        <v>2178.58</v>
      </c>
      <c r="E315" s="446">
        <v>1</v>
      </c>
      <c r="F315" s="506">
        <v>39347.919999999998</v>
      </c>
      <c r="G315" s="208"/>
      <c r="H315" s="208"/>
    </row>
    <row r="316" spans="1:9" x14ac:dyDescent="0.25">
      <c r="A316" s="797" t="s">
        <v>344</v>
      </c>
      <c r="B316" s="797"/>
      <c r="C316" s="447"/>
      <c r="D316" s="447"/>
      <c r="E316" s="447"/>
      <c r="F316" s="506">
        <f>SUM(F311:F315)</f>
        <v>3926757.3500000006</v>
      </c>
      <c r="G316" s="208"/>
      <c r="H316" s="481"/>
    </row>
    <row r="321" spans="1:6" ht="18.75" x14ac:dyDescent="0.3">
      <c r="A321" s="444" t="s">
        <v>793</v>
      </c>
      <c r="B321" s="435"/>
      <c r="C321" s="435"/>
      <c r="D321" s="435"/>
      <c r="E321" s="435"/>
      <c r="F321" s="435"/>
    </row>
    <row r="322" spans="1:6" x14ac:dyDescent="0.25">
      <c r="A322" s="208"/>
      <c r="B322" s="208"/>
      <c r="C322" s="208"/>
      <c r="D322" s="208"/>
      <c r="E322" s="208"/>
      <c r="F322" s="208"/>
    </row>
    <row r="323" spans="1:6" x14ac:dyDescent="0.25">
      <c r="A323" s="208"/>
      <c r="B323" s="208"/>
      <c r="C323" s="208"/>
      <c r="D323" s="208"/>
      <c r="E323" s="208"/>
      <c r="F323" s="208"/>
    </row>
    <row r="324" spans="1:6" ht="18.75" customHeight="1" x14ac:dyDescent="0.3">
      <c r="A324" s="435" t="s">
        <v>19</v>
      </c>
      <c r="B324" s="435"/>
      <c r="C324" s="840" t="s">
        <v>794</v>
      </c>
      <c r="D324" s="840"/>
      <c r="E324" s="840"/>
      <c r="F324" s="840"/>
    </row>
    <row r="325" spans="1:6" ht="18.75" x14ac:dyDescent="0.3">
      <c r="A325" s="436" t="s">
        <v>675</v>
      </c>
      <c r="B325" s="435"/>
      <c r="C325" s="799" t="s">
        <v>683</v>
      </c>
      <c r="D325" s="799"/>
      <c r="E325" s="799"/>
      <c r="F325" s="799"/>
    </row>
    <row r="326" spans="1:6" ht="18.75" x14ac:dyDescent="0.3">
      <c r="A326" s="800" t="s">
        <v>677</v>
      </c>
      <c r="B326" s="800"/>
      <c r="C326" s="799" t="s">
        <v>774</v>
      </c>
      <c r="D326" s="799"/>
      <c r="E326" s="437"/>
      <c r="F326" s="437"/>
    </row>
    <row r="327" spans="1:6" x14ac:dyDescent="0.25">
      <c r="A327" s="208"/>
      <c r="B327" s="208"/>
      <c r="C327" s="817" t="s">
        <v>1006</v>
      </c>
      <c r="D327" s="817"/>
      <c r="E327" s="208"/>
      <c r="F327" s="208"/>
    </row>
    <row r="328" spans="1:6" ht="45" x14ac:dyDescent="0.25">
      <c r="A328" s="418" t="s">
        <v>23</v>
      </c>
      <c r="B328" s="418" t="s">
        <v>30</v>
      </c>
      <c r="C328" s="418" t="s">
        <v>72</v>
      </c>
      <c r="D328" s="418" t="s">
        <v>795</v>
      </c>
      <c r="E328" s="418" t="s">
        <v>74</v>
      </c>
      <c r="F328" s="507" t="s">
        <v>31</v>
      </c>
    </row>
    <row r="329" spans="1:6" x14ac:dyDescent="0.25">
      <c r="A329" s="418">
        <v>1</v>
      </c>
      <c r="B329" s="418">
        <v>2</v>
      </c>
      <c r="C329" s="418">
        <v>3</v>
      </c>
      <c r="D329" s="418">
        <v>4</v>
      </c>
      <c r="E329" s="418">
        <v>5</v>
      </c>
      <c r="F329" s="415">
        <v>6</v>
      </c>
    </row>
    <row r="330" spans="1:6" ht="30" x14ac:dyDescent="0.25">
      <c r="A330" s="418">
        <v>1</v>
      </c>
      <c r="B330" s="508" t="s">
        <v>796</v>
      </c>
      <c r="C330" s="418">
        <v>1</v>
      </c>
      <c r="D330" s="418">
        <v>100</v>
      </c>
      <c r="E330" s="509">
        <f>F330/D330</f>
        <v>254.81910000000005</v>
      </c>
      <c r="F330" s="510">
        <f>40000+85481.91-100000</f>
        <v>25481.910000000003</v>
      </c>
    </row>
    <row r="331" spans="1:6" ht="30" x14ac:dyDescent="0.25">
      <c r="A331" s="418">
        <v>2</v>
      </c>
      <c r="B331" s="508" t="s">
        <v>799</v>
      </c>
      <c r="C331" s="418">
        <v>1</v>
      </c>
      <c r="D331" s="418"/>
      <c r="E331" s="509">
        <f>F331</f>
        <v>26145.72</v>
      </c>
      <c r="F331" s="510">
        <f>120000+106145.72-200000</f>
        <v>26145.72</v>
      </c>
    </row>
    <row r="332" spans="1:6" ht="30" x14ac:dyDescent="0.25">
      <c r="A332" s="418">
        <v>3</v>
      </c>
      <c r="B332" s="508" t="s">
        <v>800</v>
      </c>
      <c r="C332" s="418">
        <v>1</v>
      </c>
      <c r="D332" s="418">
        <v>1</v>
      </c>
      <c r="E332" s="509">
        <f>F332</f>
        <v>0</v>
      </c>
      <c r="F332" s="510"/>
    </row>
    <row r="333" spans="1:6" ht="30" x14ac:dyDescent="0.25">
      <c r="A333" s="418">
        <v>4</v>
      </c>
      <c r="B333" s="508" t="s">
        <v>801</v>
      </c>
      <c r="C333" s="418">
        <v>1</v>
      </c>
      <c r="D333" s="418">
        <v>4</v>
      </c>
      <c r="E333" s="509">
        <v>10000</v>
      </c>
      <c r="F333" s="510">
        <f>22447.49</f>
        <v>22447.49</v>
      </c>
    </row>
    <row r="334" spans="1:6" ht="45" x14ac:dyDescent="0.25">
      <c r="A334" s="418">
        <v>5</v>
      </c>
      <c r="B334" s="508" t="s">
        <v>797</v>
      </c>
      <c r="C334" s="418">
        <v>1</v>
      </c>
      <c r="D334" s="418">
        <v>1</v>
      </c>
      <c r="E334" s="509">
        <v>20000</v>
      </c>
      <c r="F334" s="510">
        <f>ROUND(E334*D334,0)</f>
        <v>20000</v>
      </c>
    </row>
    <row r="335" spans="1:6" ht="45" x14ac:dyDescent="0.25">
      <c r="A335" s="418">
        <v>6</v>
      </c>
      <c r="B335" s="508" t="s">
        <v>802</v>
      </c>
      <c r="C335" s="418">
        <v>1</v>
      </c>
      <c r="D335" s="418">
        <v>1</v>
      </c>
      <c r="E335" s="509">
        <f>F335</f>
        <v>30000</v>
      </c>
      <c r="F335" s="510">
        <f>30000</f>
        <v>30000</v>
      </c>
    </row>
    <row r="336" spans="1:6" ht="45" x14ac:dyDescent="0.25">
      <c r="A336" s="418">
        <v>7</v>
      </c>
      <c r="B336" s="508" t="s">
        <v>798</v>
      </c>
      <c r="C336" s="418">
        <v>1</v>
      </c>
      <c r="D336" s="418">
        <v>1</v>
      </c>
      <c r="E336" s="509">
        <f>60000-5294.72</f>
        <v>54705.279999999999</v>
      </c>
      <c r="F336" s="510">
        <f>ROUND(E336*D336,0)</f>
        <v>54705</v>
      </c>
    </row>
    <row r="337" spans="1:9" ht="60" x14ac:dyDescent="0.25">
      <c r="A337" s="418">
        <v>8</v>
      </c>
      <c r="B337" s="508" t="s">
        <v>803</v>
      </c>
      <c r="C337" s="418">
        <v>1</v>
      </c>
      <c r="D337" s="418">
        <v>4</v>
      </c>
      <c r="E337" s="509">
        <f>6000</f>
        <v>6000</v>
      </c>
      <c r="F337" s="510">
        <v>24000</v>
      </c>
      <c r="I337" s="1034"/>
    </row>
    <row r="338" spans="1:9" x14ac:dyDescent="0.25">
      <c r="A338" s="838" t="s">
        <v>344</v>
      </c>
      <c r="B338" s="838"/>
      <c r="C338" s="5"/>
      <c r="D338" s="5"/>
      <c r="E338" s="5"/>
      <c r="F338" s="457">
        <f>SUM(F330:F337)</f>
        <v>202780.12</v>
      </c>
    </row>
    <row r="341" spans="1:9" ht="18.75" x14ac:dyDescent="0.3">
      <c r="A341" s="444" t="s">
        <v>804</v>
      </c>
      <c r="B341" s="435"/>
      <c r="C341" s="435"/>
      <c r="D341" s="435"/>
      <c r="E341" s="208"/>
      <c r="F341" s="208"/>
    </row>
    <row r="342" spans="1:9" ht="18.75" x14ac:dyDescent="0.3">
      <c r="A342" s="444"/>
      <c r="B342" s="435"/>
      <c r="C342" s="435"/>
      <c r="D342" s="435"/>
      <c r="E342" s="208"/>
      <c r="F342" s="208"/>
    </row>
    <row r="343" spans="1:9" ht="18.75" customHeight="1" x14ac:dyDescent="0.3">
      <c r="A343" s="435" t="s">
        <v>19</v>
      </c>
      <c r="B343" s="435"/>
      <c r="C343" s="840" t="s">
        <v>805</v>
      </c>
      <c r="D343" s="840"/>
      <c r="E343" s="840"/>
      <c r="F343" s="439"/>
    </row>
    <row r="344" spans="1:9" ht="18.75" x14ac:dyDescent="0.3">
      <c r="A344" s="436" t="s">
        <v>675</v>
      </c>
      <c r="B344" s="435"/>
      <c r="C344" s="799" t="s">
        <v>683</v>
      </c>
      <c r="D344" s="799"/>
      <c r="E344" s="799"/>
      <c r="F344" s="799"/>
    </row>
    <row r="345" spans="1:9" ht="18.75" x14ac:dyDescent="0.3">
      <c r="A345" s="800" t="s">
        <v>677</v>
      </c>
      <c r="B345" s="800"/>
      <c r="C345" s="799" t="s">
        <v>774</v>
      </c>
      <c r="D345" s="799"/>
      <c r="E345" s="437"/>
      <c r="F345" s="437"/>
    </row>
    <row r="346" spans="1:9" x14ac:dyDescent="0.25">
      <c r="A346" s="208"/>
      <c r="B346" s="208"/>
      <c r="C346" s="208"/>
      <c r="D346" s="208"/>
      <c r="E346" s="208" t="s">
        <v>977</v>
      </c>
      <c r="F346" s="208"/>
    </row>
    <row r="347" spans="1:9" x14ac:dyDescent="0.25">
      <c r="A347" s="811" t="s">
        <v>23</v>
      </c>
      <c r="B347" s="801" t="s">
        <v>30</v>
      </c>
      <c r="C347" s="801" t="s">
        <v>75</v>
      </c>
      <c r="D347" s="801" t="s">
        <v>795</v>
      </c>
      <c r="E347" s="801" t="s">
        <v>76</v>
      </c>
      <c r="F347" s="801" t="s">
        <v>31</v>
      </c>
    </row>
    <row r="348" spans="1:9" x14ac:dyDescent="0.25">
      <c r="A348" s="813"/>
      <c r="B348" s="801"/>
      <c r="C348" s="801"/>
      <c r="D348" s="801"/>
      <c r="E348" s="801"/>
      <c r="F348" s="801"/>
    </row>
    <row r="349" spans="1:9" x14ac:dyDescent="0.25">
      <c r="A349" s="445">
        <v>1</v>
      </c>
      <c r="B349" s="445">
        <v>2</v>
      </c>
      <c r="C349" s="445">
        <v>3</v>
      </c>
      <c r="D349" s="445">
        <v>4</v>
      </c>
      <c r="E349" s="445">
        <v>5</v>
      </c>
      <c r="F349" s="445">
        <v>6</v>
      </c>
    </row>
    <row r="350" spans="1:9" ht="90" x14ac:dyDescent="0.25">
      <c r="A350" s="446">
        <v>1</v>
      </c>
      <c r="B350" s="512" t="s">
        <v>814</v>
      </c>
      <c r="C350" s="446">
        <v>1</v>
      </c>
      <c r="D350" s="448">
        <v>4</v>
      </c>
      <c r="E350" s="448">
        <v>8800</v>
      </c>
      <c r="F350" s="511">
        <f t="shared" ref="F350:F353" si="2">E350*D350*C350</f>
        <v>35200</v>
      </c>
    </row>
    <row r="351" spans="1:9" ht="45" x14ac:dyDescent="0.25">
      <c r="A351" s="446">
        <v>2</v>
      </c>
      <c r="B351" s="5" t="s">
        <v>815</v>
      </c>
      <c r="C351" s="446">
        <v>1</v>
      </c>
      <c r="D351" s="448">
        <v>1</v>
      </c>
      <c r="E351" s="448">
        <v>95710.93</v>
      </c>
      <c r="F351" s="511">
        <f t="shared" si="2"/>
        <v>95710.93</v>
      </c>
    </row>
    <row r="352" spans="1:9" ht="30" x14ac:dyDescent="0.25">
      <c r="A352" s="446">
        <v>3</v>
      </c>
      <c r="B352" s="5" t="s">
        <v>806</v>
      </c>
      <c r="C352" s="446">
        <v>1</v>
      </c>
      <c r="D352" s="448">
        <v>100</v>
      </c>
      <c r="E352" s="448">
        <v>50</v>
      </c>
      <c r="F352" s="511">
        <f t="shared" si="2"/>
        <v>5000</v>
      </c>
    </row>
    <row r="353" spans="1:9" ht="45" x14ac:dyDescent="0.25">
      <c r="A353" s="446">
        <v>4</v>
      </c>
      <c r="B353" s="5" t="s">
        <v>807</v>
      </c>
      <c r="C353" s="446">
        <v>1</v>
      </c>
      <c r="D353" s="448">
        <v>1</v>
      </c>
      <c r="E353" s="448">
        <v>30000</v>
      </c>
      <c r="F353" s="511">
        <f t="shared" si="2"/>
        <v>30000</v>
      </c>
    </row>
    <row r="354" spans="1:9" x14ac:dyDescent="0.25">
      <c r="A354" s="446">
        <v>5</v>
      </c>
      <c r="B354" s="5" t="s">
        <v>808</v>
      </c>
      <c r="C354" s="446">
        <v>1</v>
      </c>
      <c r="D354" s="448">
        <v>1</v>
      </c>
      <c r="E354" s="448">
        <v>20000</v>
      </c>
      <c r="F354" s="511">
        <f>E354*D354*C354</f>
        <v>20000</v>
      </c>
    </row>
    <row r="355" spans="1:9" ht="60" x14ac:dyDescent="0.25">
      <c r="A355" s="446">
        <v>6</v>
      </c>
      <c r="B355" s="5" t="s">
        <v>809</v>
      </c>
      <c r="C355" s="446">
        <v>1</v>
      </c>
      <c r="D355" s="448">
        <v>1</v>
      </c>
      <c r="E355" s="448">
        <v>35000</v>
      </c>
      <c r="F355" s="511">
        <f t="shared" ref="F355:F362" si="3">E355*D355*C355</f>
        <v>35000</v>
      </c>
    </row>
    <row r="356" spans="1:9" ht="30" x14ac:dyDescent="0.25">
      <c r="A356" s="446">
        <v>7</v>
      </c>
      <c r="B356" s="5" t="s">
        <v>816</v>
      </c>
      <c r="C356" s="446">
        <v>1</v>
      </c>
      <c r="D356" s="448">
        <v>4</v>
      </c>
      <c r="E356" s="448">
        <v>7500</v>
      </c>
      <c r="F356" s="511">
        <f t="shared" si="3"/>
        <v>30000</v>
      </c>
    </row>
    <row r="357" spans="1:9" ht="60" x14ac:dyDescent="0.25">
      <c r="A357" s="446">
        <v>8</v>
      </c>
      <c r="B357" s="512" t="s">
        <v>810</v>
      </c>
      <c r="C357" s="446">
        <v>1</v>
      </c>
      <c r="D357" s="448">
        <v>1</v>
      </c>
      <c r="E357" s="448">
        <v>4200</v>
      </c>
      <c r="F357" s="511">
        <f t="shared" si="3"/>
        <v>4200</v>
      </c>
    </row>
    <row r="358" spans="1:9" ht="30" x14ac:dyDescent="0.25">
      <c r="A358" s="446">
        <v>9</v>
      </c>
      <c r="B358" s="512" t="s">
        <v>811</v>
      </c>
      <c r="C358" s="446">
        <v>1</v>
      </c>
      <c r="D358" s="448">
        <v>1</v>
      </c>
      <c r="E358" s="448">
        <v>30000</v>
      </c>
      <c r="F358" s="511">
        <f t="shared" si="3"/>
        <v>30000</v>
      </c>
    </row>
    <row r="359" spans="1:9" ht="45" x14ac:dyDescent="0.25">
      <c r="A359" s="446">
        <v>10</v>
      </c>
      <c r="B359" s="512" t="s">
        <v>812</v>
      </c>
      <c r="C359" s="446">
        <v>1</v>
      </c>
      <c r="D359" s="448">
        <v>1</v>
      </c>
      <c r="E359" s="448">
        <v>7500</v>
      </c>
      <c r="F359" s="511">
        <f t="shared" si="3"/>
        <v>7500</v>
      </c>
    </row>
    <row r="360" spans="1:9" ht="45" x14ac:dyDescent="0.25">
      <c r="A360" s="446">
        <v>11</v>
      </c>
      <c r="B360" s="5" t="s">
        <v>817</v>
      </c>
      <c r="C360" s="446">
        <v>1</v>
      </c>
      <c r="D360" s="448">
        <v>1</v>
      </c>
      <c r="E360" s="448">
        <f>F360</f>
        <v>309479.07</v>
      </c>
      <c r="F360" s="511">
        <f>381246.57-24615.93-57880-5000+215728.43-200000</f>
        <v>309479.07</v>
      </c>
    </row>
    <row r="361" spans="1:9" ht="45" x14ac:dyDescent="0.25">
      <c r="A361" s="446">
        <v>12</v>
      </c>
      <c r="B361" s="5" t="s">
        <v>818</v>
      </c>
      <c r="C361" s="446">
        <v>1</v>
      </c>
      <c r="D361" s="448">
        <v>1</v>
      </c>
      <c r="E361" s="448">
        <f>333190</f>
        <v>333190</v>
      </c>
      <c r="F361" s="511">
        <f>333190</f>
        <v>333190</v>
      </c>
    </row>
    <row r="362" spans="1:9" x14ac:dyDescent="0.25">
      <c r="A362" s="446">
        <v>13</v>
      </c>
      <c r="B362" s="5" t="s">
        <v>813</v>
      </c>
      <c r="C362" s="446">
        <v>1</v>
      </c>
      <c r="D362" s="448">
        <v>1</v>
      </c>
      <c r="E362" s="448">
        <v>1000</v>
      </c>
      <c r="F362" s="511">
        <f t="shared" si="3"/>
        <v>1000</v>
      </c>
    </row>
    <row r="363" spans="1:9" x14ac:dyDescent="0.25">
      <c r="A363" s="797" t="s">
        <v>344</v>
      </c>
      <c r="B363" s="797"/>
      <c r="C363" s="447"/>
      <c r="D363" s="448"/>
      <c r="E363" s="448"/>
      <c r="F363" s="511">
        <f>SUM(F350:F362)</f>
        <v>936280</v>
      </c>
      <c r="G363" s="217">
        <v>1136280</v>
      </c>
      <c r="I363" s="645">
        <f>G363-F363</f>
        <v>200000</v>
      </c>
    </row>
    <row r="366" spans="1:9" x14ac:dyDescent="0.25">
      <c r="A366" s="208"/>
      <c r="B366" s="208"/>
      <c r="C366" s="208"/>
      <c r="D366" s="208"/>
      <c r="E366" s="208"/>
      <c r="F366" s="208"/>
    </row>
    <row r="367" spans="1:9" ht="18.75" x14ac:dyDescent="0.3">
      <c r="A367" s="444" t="s">
        <v>819</v>
      </c>
      <c r="B367" s="444"/>
      <c r="C367" s="444"/>
      <c r="D367" s="444"/>
      <c r="E367" s="444"/>
      <c r="F367" s="444"/>
    </row>
    <row r="368" spans="1:9" x14ac:dyDescent="0.25">
      <c r="A368" s="208"/>
      <c r="B368" s="208"/>
      <c r="C368" s="208"/>
      <c r="D368" s="208"/>
      <c r="E368" s="208"/>
      <c r="F368" s="208"/>
    </row>
    <row r="369" spans="1:6" ht="18.75" customHeight="1" x14ac:dyDescent="0.3">
      <c r="A369" s="435" t="s">
        <v>19</v>
      </c>
      <c r="B369" s="435"/>
      <c r="C369" s="208"/>
      <c r="D369" s="837" t="s">
        <v>805</v>
      </c>
      <c r="E369" s="837"/>
      <c r="F369" s="837"/>
    </row>
    <row r="370" spans="1:6" ht="18.75" x14ac:dyDescent="0.3">
      <c r="A370" s="436" t="s">
        <v>675</v>
      </c>
      <c r="B370" s="435"/>
      <c r="C370" s="208"/>
      <c r="D370" s="798" t="s">
        <v>820</v>
      </c>
      <c r="E370" s="798"/>
      <c r="F370" s="440"/>
    </row>
    <row r="371" spans="1:6" ht="18.75" x14ac:dyDescent="0.3">
      <c r="A371" s="470" t="s">
        <v>677</v>
      </c>
      <c r="B371" s="470"/>
      <c r="C371" s="208"/>
      <c r="D371" s="799" t="s">
        <v>774</v>
      </c>
      <c r="E371" s="799"/>
      <c r="F371" s="441"/>
    </row>
    <row r="372" spans="1:6" x14ac:dyDescent="0.25">
      <c r="A372" s="208"/>
      <c r="B372" s="208"/>
      <c r="C372" s="208"/>
      <c r="D372" s="208"/>
      <c r="E372" s="208"/>
      <c r="F372" s="208"/>
    </row>
    <row r="373" spans="1:6" ht="90" x14ac:dyDescent="0.25">
      <c r="A373" s="418" t="s">
        <v>23</v>
      </c>
      <c r="B373" s="418" t="s">
        <v>30</v>
      </c>
      <c r="C373" s="418" t="s">
        <v>821</v>
      </c>
      <c r="D373" s="418" t="s">
        <v>598</v>
      </c>
      <c r="E373" s="418" t="s">
        <v>822</v>
      </c>
      <c r="F373" s="208"/>
    </row>
    <row r="374" spans="1:6" x14ac:dyDescent="0.25">
      <c r="A374" s="415">
        <v>1</v>
      </c>
      <c r="B374" s="415">
        <v>2</v>
      </c>
      <c r="C374" s="415">
        <v>3</v>
      </c>
      <c r="D374" s="415">
        <v>4</v>
      </c>
      <c r="E374" s="415">
        <v>5</v>
      </c>
      <c r="F374" s="208"/>
    </row>
    <row r="375" spans="1:6" ht="30" x14ac:dyDescent="0.25">
      <c r="A375" s="5">
        <v>1</v>
      </c>
      <c r="B375" s="5" t="s">
        <v>823</v>
      </c>
      <c r="C375" s="5"/>
      <c r="D375" s="5"/>
      <c r="E375" s="442">
        <v>800</v>
      </c>
      <c r="F375" s="208"/>
    </row>
    <row r="376" spans="1:6" x14ac:dyDescent="0.25">
      <c r="A376" s="838" t="s">
        <v>344</v>
      </c>
      <c r="B376" s="838"/>
      <c r="C376" s="5"/>
      <c r="D376" s="5"/>
      <c r="E376" s="457">
        <f>E375</f>
        <v>800</v>
      </c>
      <c r="F376" s="208"/>
    </row>
    <row r="377" spans="1:6" x14ac:dyDescent="0.25">
      <c r="A377" s="208"/>
      <c r="B377" s="208"/>
      <c r="C377" s="208"/>
      <c r="D377" s="208"/>
      <c r="E377" s="208"/>
      <c r="F377" s="208"/>
    </row>
    <row r="378" spans="1:6" x14ac:dyDescent="0.25">
      <c r="A378" s="208"/>
      <c r="B378" s="208"/>
      <c r="C378" s="208"/>
      <c r="D378" s="208"/>
      <c r="E378" s="208"/>
      <c r="F378" s="208"/>
    </row>
    <row r="379" spans="1:6" ht="18.75" x14ac:dyDescent="0.3">
      <c r="A379" s="444" t="s">
        <v>824</v>
      </c>
      <c r="B379" s="435"/>
      <c r="C379" s="435"/>
      <c r="D379" s="435"/>
      <c r="E379" s="208"/>
      <c r="F379" s="208"/>
    </row>
    <row r="380" spans="1:6" x14ac:dyDescent="0.25">
      <c r="A380" s="208"/>
      <c r="B380" s="208"/>
      <c r="C380" s="208"/>
      <c r="D380" s="208"/>
      <c r="E380" s="208"/>
      <c r="F380" s="208"/>
    </row>
    <row r="381" spans="1:6" ht="18.75" customHeight="1" x14ac:dyDescent="0.3">
      <c r="A381" s="435" t="s">
        <v>19</v>
      </c>
      <c r="B381" s="435"/>
      <c r="C381" s="208"/>
      <c r="D381" s="837" t="s">
        <v>805</v>
      </c>
      <c r="E381" s="837"/>
      <c r="F381" s="837"/>
    </row>
    <row r="382" spans="1:6" ht="18.75" customHeight="1" x14ac:dyDescent="0.3">
      <c r="A382" s="436" t="s">
        <v>675</v>
      </c>
      <c r="B382" s="435"/>
      <c r="C382" s="208"/>
      <c r="D382" s="837" t="s">
        <v>825</v>
      </c>
      <c r="E382" s="837"/>
      <c r="F382" s="837"/>
    </row>
    <row r="383" spans="1:6" ht="18.75" x14ac:dyDescent="0.3">
      <c r="A383" s="470" t="s">
        <v>677</v>
      </c>
      <c r="B383" s="470"/>
      <c r="C383" s="208"/>
      <c r="D383" s="799" t="s">
        <v>774</v>
      </c>
      <c r="E383" s="799"/>
      <c r="F383" s="441"/>
    </row>
    <row r="384" spans="1:6" x14ac:dyDescent="0.25">
      <c r="A384" s="208"/>
      <c r="B384" s="208"/>
      <c r="C384" s="208"/>
      <c r="D384" s="208"/>
      <c r="E384" s="208"/>
      <c r="F384" s="208"/>
    </row>
    <row r="385" spans="1:10" x14ac:dyDescent="0.25">
      <c r="A385" s="847" t="s">
        <v>23</v>
      </c>
      <c r="B385" s="793" t="s">
        <v>0</v>
      </c>
      <c r="C385" s="793" t="s">
        <v>826</v>
      </c>
      <c r="D385" s="793" t="s">
        <v>827</v>
      </c>
      <c r="E385" s="793" t="s">
        <v>828</v>
      </c>
      <c r="F385" s="208"/>
    </row>
    <row r="386" spans="1:10" x14ac:dyDescent="0.25">
      <c r="A386" s="848"/>
      <c r="B386" s="793"/>
      <c r="C386" s="793"/>
      <c r="D386" s="793"/>
      <c r="E386" s="793"/>
      <c r="F386" s="208"/>
    </row>
    <row r="387" spans="1:10" x14ac:dyDescent="0.25">
      <c r="A387" s="418">
        <v>1</v>
      </c>
      <c r="B387" s="418">
        <v>2</v>
      </c>
      <c r="C387" s="418">
        <v>3</v>
      </c>
      <c r="D387" s="418">
        <v>4</v>
      </c>
      <c r="E387" s="418">
        <v>5</v>
      </c>
      <c r="F387" s="208"/>
    </row>
    <row r="388" spans="1:10" x14ac:dyDescent="0.25">
      <c r="A388" s="5">
        <v>1</v>
      </c>
      <c r="B388" s="5" t="s">
        <v>829</v>
      </c>
      <c r="C388" s="442">
        <v>1000</v>
      </c>
      <c r="D388" s="5">
        <v>2</v>
      </c>
      <c r="E388" s="442">
        <v>2000</v>
      </c>
      <c r="F388" s="208"/>
    </row>
    <row r="389" spans="1:10" x14ac:dyDescent="0.25">
      <c r="A389" s="838" t="s">
        <v>344</v>
      </c>
      <c r="B389" s="838"/>
      <c r="C389" s="5"/>
      <c r="D389" s="5"/>
      <c r="E389" s="457">
        <f>E388</f>
        <v>2000</v>
      </c>
      <c r="F389" s="208"/>
    </row>
    <row r="390" spans="1:10" x14ac:dyDescent="0.25">
      <c r="A390" s="208"/>
      <c r="B390" s="208"/>
      <c r="C390" s="208"/>
      <c r="D390" s="208"/>
      <c r="E390" s="208"/>
      <c r="F390" s="208"/>
    </row>
    <row r="392" spans="1:10" ht="15" customHeight="1" x14ac:dyDescent="0.25">
      <c r="A392" s="878" t="s">
        <v>830</v>
      </c>
      <c r="B392" s="879"/>
      <c r="C392" s="879"/>
      <c r="D392" s="879"/>
      <c r="E392" s="879"/>
      <c r="F392" s="880"/>
      <c r="G392" s="658"/>
      <c r="H392" s="658"/>
      <c r="I392" s="658"/>
      <c r="J392" s="658"/>
    </row>
    <row r="393" spans="1:10" ht="48" customHeight="1" x14ac:dyDescent="0.25">
      <c r="A393" s="875" t="s">
        <v>831</v>
      </c>
      <c r="B393" s="876"/>
      <c r="C393" s="876"/>
      <c r="D393" s="876"/>
      <c r="E393" s="876"/>
      <c r="F393" s="877"/>
      <c r="G393" s="659"/>
      <c r="H393" s="659"/>
      <c r="I393" s="659"/>
      <c r="J393" s="659"/>
    </row>
    <row r="394" spans="1:10" ht="17.25" customHeight="1" x14ac:dyDescent="0.25">
      <c r="A394" s="698"/>
      <c r="B394" s="689"/>
      <c r="C394" s="876" t="s">
        <v>993</v>
      </c>
      <c r="D394" s="876"/>
      <c r="E394" s="876"/>
      <c r="F394" s="699"/>
      <c r="G394" s="659"/>
      <c r="H394" s="659"/>
      <c r="I394" s="659"/>
      <c r="J394" s="659"/>
    </row>
    <row r="395" spans="1:10" ht="39" customHeight="1" x14ac:dyDescent="0.25">
      <c r="A395" s="513" t="s">
        <v>243</v>
      </c>
      <c r="B395" s="513" t="s">
        <v>832</v>
      </c>
      <c r="C395" s="649" t="s">
        <v>833</v>
      </c>
      <c r="D395" s="649" t="s">
        <v>834</v>
      </c>
      <c r="E395" s="514" t="s">
        <v>835</v>
      </c>
      <c r="F395" s="514" t="s">
        <v>114</v>
      </c>
      <c r="G395" s="660"/>
      <c r="H395" s="660"/>
      <c r="I395" s="660"/>
      <c r="J395" s="660"/>
    </row>
    <row r="396" spans="1:10" ht="30" x14ac:dyDescent="0.25">
      <c r="A396" s="515">
        <v>1</v>
      </c>
      <c r="B396" s="516" t="s">
        <v>836</v>
      </c>
      <c r="C396" s="515" t="s">
        <v>837</v>
      </c>
      <c r="D396" s="515">
        <v>50</v>
      </c>
      <c r="E396" s="517">
        <v>29</v>
      </c>
      <c r="F396" s="517">
        <f>D396*E396</f>
        <v>1450</v>
      </c>
      <c r="G396" s="662"/>
      <c r="H396" s="663"/>
      <c r="I396" s="664"/>
      <c r="J396" s="664"/>
    </row>
    <row r="397" spans="1:10" ht="30" x14ac:dyDescent="0.25">
      <c r="A397" s="515">
        <f t="shared" ref="A397:A416" si="4">A396+1</f>
        <v>2</v>
      </c>
      <c r="B397" s="516" t="s">
        <v>838</v>
      </c>
      <c r="C397" s="515" t="s">
        <v>837</v>
      </c>
      <c r="D397" s="515">
        <v>80</v>
      </c>
      <c r="E397" s="517">
        <v>23</v>
      </c>
      <c r="F397" s="517">
        <f t="shared" ref="F397:F419" si="5">D397*E397</f>
        <v>1840</v>
      </c>
      <c r="G397" s="662"/>
      <c r="H397" s="663"/>
      <c r="I397" s="664"/>
      <c r="J397" s="664"/>
    </row>
    <row r="398" spans="1:10" ht="30" x14ac:dyDescent="0.25">
      <c r="A398" s="515">
        <v>3</v>
      </c>
      <c r="B398" s="518" t="s">
        <v>839</v>
      </c>
      <c r="C398" s="515" t="s">
        <v>840</v>
      </c>
      <c r="D398" s="515">
        <v>40</v>
      </c>
      <c r="E398" s="517">
        <v>70</v>
      </c>
      <c r="F398" s="517">
        <f t="shared" si="5"/>
        <v>2800</v>
      </c>
      <c r="G398" s="665"/>
      <c r="H398" s="663"/>
      <c r="I398" s="664"/>
      <c r="J398" s="664"/>
    </row>
    <row r="399" spans="1:10" ht="30" x14ac:dyDescent="0.25">
      <c r="A399" s="515">
        <f t="shared" si="4"/>
        <v>4</v>
      </c>
      <c r="B399" s="516" t="s">
        <v>841</v>
      </c>
      <c r="C399" s="515" t="s">
        <v>837</v>
      </c>
      <c r="D399" s="515">
        <v>40</v>
      </c>
      <c r="E399" s="517">
        <v>340</v>
      </c>
      <c r="F399" s="517">
        <f t="shared" si="5"/>
        <v>13600</v>
      </c>
      <c r="G399" s="666"/>
      <c r="H399" s="663"/>
      <c r="I399" s="664"/>
      <c r="J399" s="664"/>
    </row>
    <row r="400" spans="1:10" ht="30" x14ac:dyDescent="0.25">
      <c r="A400" s="515">
        <v>5</v>
      </c>
      <c r="B400" s="516" t="s">
        <v>842</v>
      </c>
      <c r="C400" s="515" t="s">
        <v>837</v>
      </c>
      <c r="D400" s="515">
        <v>20</v>
      </c>
      <c r="E400" s="517">
        <v>64</v>
      </c>
      <c r="F400" s="517">
        <f t="shared" si="5"/>
        <v>1280</v>
      </c>
      <c r="G400" s="662"/>
      <c r="H400" s="663"/>
      <c r="I400" s="664"/>
      <c r="J400" s="664"/>
    </row>
    <row r="401" spans="1:10" ht="30" x14ac:dyDescent="0.25">
      <c r="A401" s="515">
        <f t="shared" si="4"/>
        <v>6</v>
      </c>
      <c r="B401" s="516" t="s">
        <v>843</v>
      </c>
      <c r="C401" s="515" t="s">
        <v>837</v>
      </c>
      <c r="D401" s="515">
        <v>10</v>
      </c>
      <c r="E401" s="517">
        <v>78</v>
      </c>
      <c r="F401" s="517">
        <f t="shared" si="5"/>
        <v>780</v>
      </c>
      <c r="G401" s="662"/>
      <c r="H401" s="663"/>
      <c r="I401" s="664"/>
      <c r="J401" s="664"/>
    </row>
    <row r="402" spans="1:10" x14ac:dyDescent="0.25">
      <c r="A402" s="515">
        <v>7</v>
      </c>
      <c r="B402" s="518" t="s">
        <v>844</v>
      </c>
      <c r="C402" s="515" t="s">
        <v>837</v>
      </c>
      <c r="D402" s="515">
        <v>4</v>
      </c>
      <c r="E402" s="517">
        <v>1350</v>
      </c>
      <c r="F402" s="517">
        <f t="shared" si="5"/>
        <v>5400</v>
      </c>
      <c r="G402" s="662"/>
      <c r="H402" s="667"/>
      <c r="I402" s="664"/>
      <c r="J402" s="664"/>
    </row>
    <row r="403" spans="1:10" ht="30" x14ac:dyDescent="0.25">
      <c r="A403" s="515">
        <f t="shared" si="4"/>
        <v>8</v>
      </c>
      <c r="B403" s="516" t="s">
        <v>845</v>
      </c>
      <c r="C403" s="515" t="s">
        <v>846</v>
      </c>
      <c r="D403" s="515">
        <v>49</v>
      </c>
      <c r="E403" s="517">
        <v>35</v>
      </c>
      <c r="F403" s="517">
        <f t="shared" si="5"/>
        <v>1715</v>
      </c>
      <c r="G403" s="662"/>
      <c r="H403" s="667"/>
      <c r="I403" s="664"/>
      <c r="J403" s="664"/>
    </row>
    <row r="404" spans="1:10" ht="30" x14ac:dyDescent="0.25">
      <c r="A404" s="515">
        <v>9</v>
      </c>
      <c r="B404" s="516" t="s">
        <v>847</v>
      </c>
      <c r="C404" s="515" t="s">
        <v>837</v>
      </c>
      <c r="D404" s="515">
        <v>2</v>
      </c>
      <c r="E404" s="517">
        <v>4200</v>
      </c>
      <c r="F404" s="517">
        <f t="shared" si="5"/>
        <v>8400</v>
      </c>
      <c r="G404" s="662"/>
      <c r="H404" s="667"/>
      <c r="I404" s="664"/>
      <c r="J404" s="664"/>
    </row>
    <row r="405" spans="1:10" x14ac:dyDescent="0.25">
      <c r="A405" s="515">
        <f t="shared" si="4"/>
        <v>10</v>
      </c>
      <c r="B405" s="516" t="s">
        <v>848</v>
      </c>
      <c r="C405" s="515" t="s">
        <v>837</v>
      </c>
      <c r="D405" s="515">
        <v>96</v>
      </c>
      <c r="E405" s="517">
        <v>20</v>
      </c>
      <c r="F405" s="517">
        <f>D405*E405</f>
        <v>1920</v>
      </c>
      <c r="G405" s="662"/>
      <c r="H405" s="667"/>
      <c r="I405" s="664"/>
      <c r="J405" s="664"/>
    </row>
    <row r="406" spans="1:10" x14ac:dyDescent="0.25">
      <c r="A406" s="515">
        <v>11</v>
      </c>
      <c r="B406" s="516" t="s">
        <v>406</v>
      </c>
      <c r="C406" s="515" t="s">
        <v>837</v>
      </c>
      <c r="D406" s="515">
        <v>4</v>
      </c>
      <c r="E406" s="517">
        <v>110</v>
      </c>
      <c r="F406" s="517">
        <f t="shared" si="5"/>
        <v>440</v>
      </c>
      <c r="G406" s="662"/>
      <c r="H406" s="667"/>
      <c r="I406" s="664"/>
      <c r="J406" s="664"/>
    </row>
    <row r="407" spans="1:10" ht="30" x14ac:dyDescent="0.25">
      <c r="A407" s="515">
        <f t="shared" si="4"/>
        <v>12</v>
      </c>
      <c r="B407" s="516" t="s">
        <v>849</v>
      </c>
      <c r="C407" s="515" t="s">
        <v>837</v>
      </c>
      <c r="D407" s="515">
        <v>20</v>
      </c>
      <c r="E407" s="517">
        <v>180</v>
      </c>
      <c r="F407" s="517">
        <f t="shared" si="5"/>
        <v>3600</v>
      </c>
      <c r="G407" s="668"/>
      <c r="H407" s="667"/>
      <c r="I407" s="664"/>
      <c r="J407" s="664"/>
    </row>
    <row r="408" spans="1:10" x14ac:dyDescent="0.25">
      <c r="A408" s="515">
        <v>13</v>
      </c>
      <c r="B408" s="516" t="s">
        <v>850</v>
      </c>
      <c r="C408" s="515" t="s">
        <v>837</v>
      </c>
      <c r="D408" s="515">
        <v>45</v>
      </c>
      <c r="E408" s="517">
        <v>195</v>
      </c>
      <c r="F408" s="517">
        <f t="shared" si="5"/>
        <v>8775</v>
      </c>
      <c r="G408" s="662"/>
      <c r="H408" s="667"/>
      <c r="I408" s="664"/>
      <c r="J408" s="664"/>
    </row>
    <row r="409" spans="1:10" ht="30" x14ac:dyDescent="0.25">
      <c r="A409" s="515">
        <f t="shared" si="4"/>
        <v>14</v>
      </c>
      <c r="B409" s="520" t="s">
        <v>851</v>
      </c>
      <c r="C409" s="515" t="s">
        <v>852</v>
      </c>
      <c r="D409" s="515">
        <v>20</v>
      </c>
      <c r="E409" s="517">
        <v>60</v>
      </c>
      <c r="F409" s="517">
        <f t="shared" si="5"/>
        <v>1200</v>
      </c>
      <c r="G409" s="669"/>
      <c r="H409" s="670"/>
      <c r="I409" s="671"/>
      <c r="J409" s="664"/>
    </row>
    <row r="410" spans="1:10" x14ac:dyDescent="0.25">
      <c r="A410" s="515">
        <v>15</v>
      </c>
      <c r="B410" s="516" t="s">
        <v>853</v>
      </c>
      <c r="C410" s="515" t="s">
        <v>837</v>
      </c>
      <c r="D410" s="515">
        <v>5</v>
      </c>
      <c r="E410" s="517">
        <v>200</v>
      </c>
      <c r="F410" s="517">
        <f t="shared" si="5"/>
        <v>1000</v>
      </c>
      <c r="G410" s="662"/>
      <c r="H410" s="670"/>
      <c r="I410" s="671"/>
      <c r="J410" s="664"/>
    </row>
    <row r="411" spans="1:10" ht="30" x14ac:dyDescent="0.25">
      <c r="A411" s="515">
        <f t="shared" si="4"/>
        <v>16</v>
      </c>
      <c r="B411" s="520" t="s">
        <v>854</v>
      </c>
      <c r="C411" s="521" t="s">
        <v>837</v>
      </c>
      <c r="D411" s="521">
        <v>10</v>
      </c>
      <c r="E411" s="517">
        <v>350</v>
      </c>
      <c r="F411" s="517">
        <f t="shared" si="5"/>
        <v>3500</v>
      </c>
      <c r="G411" s="662"/>
      <c r="H411" s="667"/>
      <c r="I411" s="664"/>
      <c r="J411" s="664"/>
    </row>
    <row r="412" spans="1:10" ht="45" x14ac:dyDescent="0.25">
      <c r="A412" s="515">
        <v>17</v>
      </c>
      <c r="B412" s="522" t="s">
        <v>855</v>
      </c>
      <c r="C412" s="521" t="s">
        <v>837</v>
      </c>
      <c r="D412" s="521">
        <v>30</v>
      </c>
      <c r="E412" s="517">
        <v>250</v>
      </c>
      <c r="F412" s="517">
        <f t="shared" si="5"/>
        <v>7500</v>
      </c>
      <c r="G412" s="672"/>
      <c r="H412" s="673"/>
      <c r="I412" s="674"/>
      <c r="J412" s="664"/>
    </row>
    <row r="413" spans="1:10" ht="30" x14ac:dyDescent="0.25">
      <c r="A413" s="515">
        <v>18</v>
      </c>
      <c r="B413" s="516" t="s">
        <v>856</v>
      </c>
      <c r="C413" s="515" t="s">
        <v>857</v>
      </c>
      <c r="D413" s="515">
        <v>2</v>
      </c>
      <c r="E413" s="517">
        <v>2350</v>
      </c>
      <c r="F413" s="517">
        <f t="shared" si="5"/>
        <v>4700</v>
      </c>
      <c r="G413" s="662"/>
      <c r="H413" s="667"/>
      <c r="I413" s="664"/>
      <c r="J413" s="664"/>
    </row>
    <row r="414" spans="1:10" ht="45" x14ac:dyDescent="0.25">
      <c r="A414" s="515">
        <f t="shared" si="4"/>
        <v>19</v>
      </c>
      <c r="B414" s="516" t="s">
        <v>858</v>
      </c>
      <c r="C414" s="515" t="s">
        <v>837</v>
      </c>
      <c r="D414" s="515">
        <v>2</v>
      </c>
      <c r="E414" s="517">
        <v>2500</v>
      </c>
      <c r="F414" s="517">
        <f t="shared" si="5"/>
        <v>5000</v>
      </c>
      <c r="G414" s="665"/>
      <c r="H414" s="667"/>
      <c r="I414" s="675"/>
      <c r="J414" s="664"/>
    </row>
    <row r="415" spans="1:10" ht="30" x14ac:dyDescent="0.25">
      <c r="A415" s="515">
        <v>20</v>
      </c>
      <c r="B415" s="516" t="s">
        <v>859</v>
      </c>
      <c r="C415" s="515" t="s">
        <v>860</v>
      </c>
      <c r="D415" s="515">
        <v>50</v>
      </c>
      <c r="E415" s="517">
        <v>50</v>
      </c>
      <c r="F415" s="517">
        <f t="shared" si="5"/>
        <v>2500</v>
      </c>
      <c r="G415" s="665"/>
      <c r="H415" s="667"/>
      <c r="I415" s="675"/>
      <c r="J415" s="664"/>
    </row>
    <row r="416" spans="1:10" ht="30" x14ac:dyDescent="0.25">
      <c r="A416" s="515">
        <f t="shared" si="4"/>
        <v>21</v>
      </c>
      <c r="B416" s="518" t="s">
        <v>861</v>
      </c>
      <c r="C416" s="515" t="s">
        <v>862</v>
      </c>
      <c r="D416" s="515">
        <v>10</v>
      </c>
      <c r="E416" s="517">
        <v>150</v>
      </c>
      <c r="F416" s="517">
        <f t="shared" si="5"/>
        <v>1500</v>
      </c>
      <c r="G416" s="665"/>
      <c r="H416" s="667"/>
      <c r="I416" s="675"/>
      <c r="J416" s="664"/>
    </row>
    <row r="417" spans="1:10" x14ac:dyDescent="0.25">
      <c r="A417" s="515">
        <v>22</v>
      </c>
      <c r="B417" s="518" t="s">
        <v>863</v>
      </c>
      <c r="C417" s="515" t="s">
        <v>857</v>
      </c>
      <c r="D417" s="515">
        <v>1</v>
      </c>
      <c r="E417" s="517">
        <v>20</v>
      </c>
      <c r="F417" s="517">
        <f t="shared" si="5"/>
        <v>20</v>
      </c>
      <c r="G417" s="662"/>
      <c r="H417" s="667"/>
      <c r="I417" s="664"/>
      <c r="J417" s="664"/>
    </row>
    <row r="418" spans="1:10" ht="90" x14ac:dyDescent="0.25">
      <c r="A418" s="515">
        <v>23</v>
      </c>
      <c r="B418" s="516" t="s">
        <v>866</v>
      </c>
      <c r="C418" s="515" t="s">
        <v>867</v>
      </c>
      <c r="D418" s="521">
        <v>400</v>
      </c>
      <c r="E418" s="517">
        <v>160</v>
      </c>
      <c r="F418" s="517">
        <f t="shared" si="5"/>
        <v>64000</v>
      </c>
      <c r="G418" s="662"/>
      <c r="H418" s="667"/>
      <c r="I418" s="664"/>
      <c r="J418" s="664"/>
    </row>
    <row r="419" spans="1:10" x14ac:dyDescent="0.25">
      <c r="A419" s="515">
        <v>24</v>
      </c>
      <c r="B419" s="516" t="s">
        <v>868</v>
      </c>
      <c r="C419" s="515" t="s">
        <v>867</v>
      </c>
      <c r="D419" s="515">
        <v>100</v>
      </c>
      <c r="E419" s="517">
        <v>200</v>
      </c>
      <c r="F419" s="517">
        <f t="shared" si="5"/>
        <v>20000</v>
      </c>
      <c r="G419" s="662"/>
      <c r="H419" s="667"/>
      <c r="I419" s="664"/>
      <c r="J419" s="664"/>
    </row>
    <row r="420" spans="1:10" x14ac:dyDescent="0.25">
      <c r="A420" s="515">
        <v>25</v>
      </c>
      <c r="B420" s="516" t="s">
        <v>869</v>
      </c>
      <c r="C420" s="515" t="s">
        <v>867</v>
      </c>
      <c r="D420" s="515">
        <v>15</v>
      </c>
      <c r="E420" s="517">
        <v>200</v>
      </c>
      <c r="F420" s="517">
        <f>D420*E420</f>
        <v>3000</v>
      </c>
      <c r="G420" s="662"/>
      <c r="H420" s="667"/>
      <c r="I420" s="664"/>
      <c r="J420" s="664"/>
    </row>
    <row r="421" spans="1:10" x14ac:dyDescent="0.25">
      <c r="A421" s="515">
        <v>26</v>
      </c>
      <c r="B421" s="516" t="s">
        <v>870</v>
      </c>
      <c r="C421" s="515" t="s">
        <v>867</v>
      </c>
      <c r="D421" s="515">
        <v>50</v>
      </c>
      <c r="E421" s="517">
        <v>190</v>
      </c>
      <c r="F421" s="517">
        <f>D421*E421</f>
        <v>9500</v>
      </c>
      <c r="G421" s="662"/>
      <c r="H421" s="667"/>
      <c r="I421" s="664"/>
      <c r="J421" s="664"/>
    </row>
    <row r="422" spans="1:10" x14ac:dyDescent="0.25">
      <c r="A422" s="515">
        <v>27</v>
      </c>
      <c r="B422" s="516" t="s">
        <v>871</v>
      </c>
      <c r="C422" s="515" t="s">
        <v>867</v>
      </c>
      <c r="D422" s="515">
        <v>20</v>
      </c>
      <c r="E422" s="517">
        <v>200</v>
      </c>
      <c r="F422" s="517">
        <f t="shared" ref="F422:F428" si="6">D422*E422</f>
        <v>4000</v>
      </c>
      <c r="G422" s="662"/>
      <c r="H422" s="667"/>
      <c r="I422" s="664"/>
      <c r="J422" s="664"/>
    </row>
    <row r="423" spans="1:10" x14ac:dyDescent="0.25">
      <c r="A423" s="515">
        <v>28</v>
      </c>
      <c r="B423" s="516" t="s">
        <v>873</v>
      </c>
      <c r="C423" s="515" t="s">
        <v>867</v>
      </c>
      <c r="D423" s="515">
        <v>3</v>
      </c>
      <c r="E423" s="517">
        <v>200</v>
      </c>
      <c r="F423" s="517">
        <f t="shared" si="6"/>
        <v>600</v>
      </c>
      <c r="G423" s="662"/>
      <c r="H423" s="667"/>
      <c r="I423" s="664"/>
      <c r="J423" s="664"/>
    </row>
    <row r="424" spans="1:10" x14ac:dyDescent="0.25">
      <c r="A424" s="515">
        <v>29</v>
      </c>
      <c r="B424" s="516" t="s">
        <v>874</v>
      </c>
      <c r="C424" s="515" t="s">
        <v>867</v>
      </c>
      <c r="D424" s="515">
        <v>50</v>
      </c>
      <c r="E424" s="517">
        <v>200</v>
      </c>
      <c r="F424" s="517">
        <f t="shared" si="6"/>
        <v>10000</v>
      </c>
      <c r="G424" s="662"/>
      <c r="H424" s="667"/>
      <c r="I424" s="664"/>
      <c r="J424" s="664"/>
    </row>
    <row r="425" spans="1:10" x14ac:dyDescent="0.25">
      <c r="A425" s="515">
        <v>30</v>
      </c>
      <c r="B425" s="516" t="s">
        <v>875</v>
      </c>
      <c r="C425" s="515" t="s">
        <v>837</v>
      </c>
      <c r="D425" s="515">
        <v>8</v>
      </c>
      <c r="E425" s="517">
        <v>200</v>
      </c>
      <c r="F425" s="517">
        <f t="shared" si="6"/>
        <v>1600</v>
      </c>
      <c r="G425" s="662"/>
      <c r="H425" s="667"/>
      <c r="I425" s="664"/>
      <c r="J425" s="664"/>
    </row>
    <row r="426" spans="1:10" x14ac:dyDescent="0.25">
      <c r="A426" s="515">
        <v>31</v>
      </c>
      <c r="B426" s="516" t="s">
        <v>876</v>
      </c>
      <c r="C426" s="515" t="s">
        <v>837</v>
      </c>
      <c r="D426" s="515">
        <v>10</v>
      </c>
      <c r="E426" s="517">
        <v>100</v>
      </c>
      <c r="F426" s="517">
        <f t="shared" si="6"/>
        <v>1000</v>
      </c>
      <c r="G426" s="662"/>
      <c r="H426" s="667"/>
      <c r="I426" s="664"/>
      <c r="J426" s="664"/>
    </row>
    <row r="427" spans="1:10" x14ac:dyDescent="0.25">
      <c r="A427" s="515">
        <v>32</v>
      </c>
      <c r="B427" s="516" t="s">
        <v>877</v>
      </c>
      <c r="C427" s="515" t="s">
        <v>837</v>
      </c>
      <c r="D427" s="515">
        <v>4</v>
      </c>
      <c r="E427" s="517">
        <v>100</v>
      </c>
      <c r="F427" s="517">
        <f t="shared" si="6"/>
        <v>400</v>
      </c>
      <c r="G427" s="662"/>
      <c r="H427" s="667"/>
      <c r="I427" s="664"/>
      <c r="J427" s="664"/>
    </row>
    <row r="428" spans="1:10" ht="45" x14ac:dyDescent="0.25">
      <c r="A428" s="515">
        <v>33</v>
      </c>
      <c r="B428" s="516" t="s">
        <v>878</v>
      </c>
      <c r="C428" s="515" t="s">
        <v>837</v>
      </c>
      <c r="D428" s="515">
        <v>2</v>
      </c>
      <c r="E428" s="517">
        <v>200</v>
      </c>
      <c r="F428" s="517">
        <f t="shared" si="6"/>
        <v>400</v>
      </c>
      <c r="G428" s="662"/>
      <c r="H428" s="667"/>
      <c r="I428" s="664"/>
      <c r="J428" s="664"/>
    </row>
    <row r="429" spans="1:10" ht="60" x14ac:dyDescent="0.25">
      <c r="A429" s="515">
        <v>34</v>
      </c>
      <c r="B429" s="516" t="s">
        <v>879</v>
      </c>
      <c r="C429" s="515" t="s">
        <v>880</v>
      </c>
      <c r="D429" s="515">
        <v>2</v>
      </c>
      <c r="E429" s="517">
        <v>300</v>
      </c>
      <c r="F429" s="517">
        <f>D429*E429</f>
        <v>600</v>
      </c>
      <c r="G429" s="662"/>
      <c r="H429" s="667"/>
      <c r="I429" s="664"/>
      <c r="J429" s="664"/>
    </row>
    <row r="430" spans="1:10" ht="30" x14ac:dyDescent="0.25">
      <c r="A430" s="515">
        <v>35</v>
      </c>
      <c r="B430" s="518" t="s">
        <v>881</v>
      </c>
      <c r="C430" s="515" t="s">
        <v>880</v>
      </c>
      <c r="D430" s="515">
        <v>1</v>
      </c>
      <c r="E430" s="517">
        <v>300</v>
      </c>
      <c r="F430" s="517">
        <f>D430*E430</f>
        <v>300</v>
      </c>
      <c r="G430" s="662"/>
      <c r="H430" s="667"/>
      <c r="I430" s="664"/>
      <c r="J430" s="664"/>
    </row>
    <row r="431" spans="1:10" ht="60" x14ac:dyDescent="0.25">
      <c r="A431" s="515">
        <v>36</v>
      </c>
      <c r="B431" s="518" t="s">
        <v>882</v>
      </c>
      <c r="C431" s="515" t="s">
        <v>883</v>
      </c>
      <c r="D431" s="515">
        <v>2</v>
      </c>
      <c r="E431" s="517">
        <v>40</v>
      </c>
      <c r="F431" s="517">
        <f t="shared" ref="F431:F440" si="7">D431*E431</f>
        <v>80</v>
      </c>
      <c r="G431" s="662"/>
      <c r="H431" s="667"/>
      <c r="I431" s="664"/>
      <c r="J431" s="664"/>
    </row>
    <row r="432" spans="1:10" ht="30" x14ac:dyDescent="0.25">
      <c r="A432" s="515">
        <v>37</v>
      </c>
      <c r="B432" s="518" t="s">
        <v>884</v>
      </c>
      <c r="C432" s="515" t="s">
        <v>867</v>
      </c>
      <c r="D432" s="515">
        <v>80</v>
      </c>
      <c r="E432" s="517">
        <v>155</v>
      </c>
      <c r="F432" s="517">
        <f t="shared" si="7"/>
        <v>12400</v>
      </c>
      <c r="G432" s="662"/>
      <c r="H432" s="667"/>
      <c r="I432" s="664"/>
      <c r="J432" s="664"/>
    </row>
    <row r="433" spans="1:10" ht="45" x14ac:dyDescent="0.25">
      <c r="A433" s="515">
        <v>38</v>
      </c>
      <c r="B433" s="518" t="s">
        <v>885</v>
      </c>
      <c r="C433" s="515" t="s">
        <v>867</v>
      </c>
      <c r="D433" s="515">
        <v>20</v>
      </c>
      <c r="E433" s="517">
        <v>450</v>
      </c>
      <c r="F433" s="517">
        <f t="shared" si="7"/>
        <v>9000</v>
      </c>
      <c r="G433" s="662"/>
      <c r="H433" s="667"/>
      <c r="I433" s="664"/>
      <c r="J433" s="664"/>
    </row>
    <row r="434" spans="1:10" x14ac:dyDescent="0.25">
      <c r="A434" s="515">
        <v>39</v>
      </c>
      <c r="B434" s="518" t="s">
        <v>1028</v>
      </c>
      <c r="C434" s="515" t="s">
        <v>239</v>
      </c>
      <c r="D434" s="515">
        <v>2</v>
      </c>
      <c r="E434" s="517">
        <v>5000</v>
      </c>
      <c r="F434" s="517">
        <f t="shared" si="7"/>
        <v>10000</v>
      </c>
      <c r="G434" s="662"/>
      <c r="H434" s="667"/>
      <c r="I434" s="664"/>
      <c r="J434" s="664"/>
    </row>
    <row r="435" spans="1:10" x14ac:dyDescent="0.25">
      <c r="A435" s="515">
        <v>40</v>
      </c>
      <c r="B435" s="518" t="s">
        <v>1029</v>
      </c>
      <c r="C435" s="515" t="s">
        <v>239</v>
      </c>
      <c r="D435" s="515">
        <v>3</v>
      </c>
      <c r="E435" s="517">
        <v>602</v>
      </c>
      <c r="F435" s="517">
        <f t="shared" si="7"/>
        <v>1806</v>
      </c>
      <c r="G435" s="662"/>
      <c r="H435" s="667"/>
      <c r="I435" s="664"/>
      <c r="J435" s="664"/>
    </row>
    <row r="436" spans="1:10" x14ac:dyDescent="0.25">
      <c r="A436" s="515">
        <v>41</v>
      </c>
      <c r="B436" s="518" t="s">
        <v>1030</v>
      </c>
      <c r="C436" s="515" t="s">
        <v>239</v>
      </c>
      <c r="D436" s="515">
        <v>300</v>
      </c>
      <c r="E436" s="517">
        <v>11.5</v>
      </c>
      <c r="F436" s="517">
        <f t="shared" si="7"/>
        <v>3450</v>
      </c>
      <c r="G436" s="662"/>
      <c r="H436" s="667"/>
      <c r="I436" s="664"/>
      <c r="J436" s="664"/>
    </row>
    <row r="437" spans="1:10" x14ac:dyDescent="0.25">
      <c r="A437" s="515">
        <v>42</v>
      </c>
      <c r="B437" s="518" t="s">
        <v>1031</v>
      </c>
      <c r="C437" s="515" t="s">
        <v>239</v>
      </c>
      <c r="D437" s="515">
        <v>200</v>
      </c>
      <c r="E437" s="517">
        <v>24</v>
      </c>
      <c r="F437" s="517">
        <f t="shared" si="7"/>
        <v>4800</v>
      </c>
      <c r="G437" s="662"/>
      <c r="H437" s="667"/>
      <c r="I437" s="664"/>
      <c r="J437" s="664"/>
    </row>
    <row r="438" spans="1:10" x14ac:dyDescent="0.25">
      <c r="A438" s="515">
        <v>43</v>
      </c>
      <c r="B438" s="518" t="s">
        <v>1032</v>
      </c>
      <c r="C438" s="515" t="s">
        <v>239</v>
      </c>
      <c r="D438" s="515">
        <v>1</v>
      </c>
      <c r="E438" s="517">
        <v>2650</v>
      </c>
      <c r="F438" s="517">
        <f t="shared" si="7"/>
        <v>2650</v>
      </c>
      <c r="G438" s="662"/>
      <c r="H438" s="667"/>
      <c r="I438" s="664"/>
      <c r="J438" s="664"/>
    </row>
    <row r="439" spans="1:10" ht="45" x14ac:dyDescent="0.25">
      <c r="A439" s="515">
        <v>44</v>
      </c>
      <c r="B439" s="518" t="s">
        <v>1033</v>
      </c>
      <c r="C439" s="515" t="s">
        <v>239</v>
      </c>
      <c r="D439" s="515">
        <v>20</v>
      </c>
      <c r="E439" s="517">
        <v>1750</v>
      </c>
      <c r="F439" s="517">
        <f t="shared" si="7"/>
        <v>35000</v>
      </c>
      <c r="G439" s="662"/>
      <c r="H439" s="667"/>
      <c r="I439" s="664"/>
      <c r="J439" s="664"/>
    </row>
    <row r="440" spans="1:10" x14ac:dyDescent="0.25">
      <c r="A440" s="515">
        <v>45</v>
      </c>
      <c r="B440" s="518" t="s">
        <v>886</v>
      </c>
      <c r="C440" s="515" t="s">
        <v>857</v>
      </c>
      <c r="D440" s="515">
        <v>20</v>
      </c>
      <c r="E440" s="517">
        <v>160</v>
      </c>
      <c r="F440" s="517">
        <f t="shared" si="7"/>
        <v>3200</v>
      </c>
      <c r="G440" s="662"/>
      <c r="H440" s="667"/>
      <c r="I440" s="664"/>
      <c r="J440" s="664"/>
    </row>
    <row r="441" spans="1:10" x14ac:dyDescent="0.25">
      <c r="A441" s="886" t="s">
        <v>864</v>
      </c>
      <c r="B441" s="887"/>
      <c r="C441" s="887"/>
      <c r="D441" s="887"/>
      <c r="E441" s="888"/>
      <c r="F441" s="525">
        <f>SUM(F396:F440)</f>
        <v>276706</v>
      </c>
      <c r="G441" s="676"/>
      <c r="H441" s="676"/>
      <c r="I441" s="677"/>
      <c r="J441" s="678">
        <f>SUM(J396:J417)</f>
        <v>0</v>
      </c>
    </row>
    <row r="442" spans="1:10" x14ac:dyDescent="0.25">
      <c r="A442" s="656"/>
      <c r="B442" s="878" t="s">
        <v>830</v>
      </c>
      <c r="C442" s="879"/>
      <c r="D442" s="879"/>
      <c r="E442" s="879"/>
      <c r="F442" s="879"/>
      <c r="G442" s="880"/>
      <c r="H442" s="676"/>
      <c r="I442" s="677"/>
      <c r="J442" s="678"/>
    </row>
    <row r="443" spans="1:10" x14ac:dyDescent="0.25">
      <c r="A443" s="656"/>
      <c r="B443" s="875" t="s">
        <v>831</v>
      </c>
      <c r="C443" s="876"/>
      <c r="D443" s="876"/>
      <c r="E443" s="876"/>
      <c r="F443" s="876"/>
      <c r="G443" s="877"/>
      <c r="H443" s="676"/>
      <c r="I443" s="677"/>
      <c r="J443" s="678"/>
    </row>
    <row r="444" spans="1:10" ht="30" customHeight="1" x14ac:dyDescent="0.25">
      <c r="A444" s="656"/>
      <c r="B444" s="689"/>
      <c r="C444" s="691"/>
      <c r="D444" s="882" t="s">
        <v>991</v>
      </c>
      <c r="E444" s="882"/>
      <c r="F444" s="689"/>
      <c r="G444" s="690"/>
      <c r="H444" s="676"/>
      <c r="I444" s="677"/>
      <c r="J444" s="678"/>
    </row>
    <row r="445" spans="1:10" x14ac:dyDescent="0.25">
      <c r="A445" s="515">
        <v>1</v>
      </c>
      <c r="B445" s="526" t="s">
        <v>992</v>
      </c>
      <c r="C445" s="515" t="s">
        <v>837</v>
      </c>
      <c r="D445" s="515">
        <v>2</v>
      </c>
      <c r="E445" s="517">
        <v>7000</v>
      </c>
      <c r="F445" s="517">
        <f>D445*E445</f>
        <v>14000</v>
      </c>
      <c r="G445" s="666"/>
      <c r="H445" s="666"/>
      <c r="I445" s="664"/>
      <c r="J445" s="664"/>
    </row>
    <row r="446" spans="1:10" ht="28.5" x14ac:dyDescent="0.25">
      <c r="A446" s="527"/>
      <c r="B446" s="692" t="s">
        <v>865</v>
      </c>
      <c r="C446" s="693"/>
      <c r="D446" s="693"/>
      <c r="E446" s="694"/>
      <c r="F446" s="695">
        <f>F445</f>
        <v>14000</v>
      </c>
      <c r="G446" s="680"/>
      <c r="H446" s="680"/>
      <c r="I446" s="678"/>
      <c r="J446" s="678">
        <f>SUM(J445:J445)</f>
        <v>0</v>
      </c>
    </row>
    <row r="447" spans="1:10" x14ac:dyDescent="0.25">
      <c r="A447" s="696"/>
      <c r="B447" s="693"/>
      <c r="C447" s="693"/>
      <c r="D447" s="693"/>
      <c r="E447" s="693"/>
      <c r="F447" s="697"/>
      <c r="G447" s="680"/>
      <c r="H447" s="680"/>
      <c r="I447" s="678"/>
      <c r="J447" s="678"/>
    </row>
    <row r="448" spans="1:10" x14ac:dyDescent="0.25">
      <c r="A448" s="696"/>
      <c r="B448" s="693"/>
      <c r="C448" s="693"/>
      <c r="D448" s="693"/>
      <c r="E448" s="693"/>
      <c r="F448" s="697"/>
      <c r="G448" s="680"/>
      <c r="H448" s="680"/>
      <c r="I448" s="678"/>
      <c r="J448" s="678"/>
    </row>
    <row r="449" spans="1:10" ht="15" customHeight="1" x14ac:dyDescent="0.25">
      <c r="A449" s="883"/>
      <c r="B449" s="884"/>
      <c r="C449" s="884"/>
      <c r="D449" s="884"/>
      <c r="E449" s="884"/>
      <c r="F449" s="885"/>
      <c r="G449" s="661"/>
      <c r="H449" s="661"/>
      <c r="I449" s="661"/>
      <c r="J449" s="661"/>
    </row>
    <row r="450" spans="1:10" ht="90" x14ac:dyDescent="0.25">
      <c r="A450" s="515">
        <v>1</v>
      </c>
      <c r="B450" s="516" t="s">
        <v>866</v>
      </c>
      <c r="C450" s="515" t="s">
        <v>867</v>
      </c>
      <c r="D450" s="521">
        <v>400</v>
      </c>
      <c r="E450" s="517">
        <v>160</v>
      </c>
      <c r="F450" s="517">
        <v>64000</v>
      </c>
      <c r="G450" s="666"/>
      <c r="H450" s="666"/>
      <c r="I450" s="664"/>
      <c r="J450" s="664"/>
    </row>
    <row r="451" spans="1:10" x14ac:dyDescent="0.25">
      <c r="A451" s="515">
        <v>2</v>
      </c>
      <c r="B451" s="516" t="s">
        <v>868</v>
      </c>
      <c r="C451" s="515" t="s">
        <v>867</v>
      </c>
      <c r="D451" s="515">
        <v>100</v>
      </c>
      <c r="E451" s="517">
        <v>200</v>
      </c>
      <c r="F451" s="517">
        <v>20000</v>
      </c>
      <c r="G451" s="666"/>
      <c r="H451" s="666"/>
      <c r="I451" s="664"/>
      <c r="J451" s="664"/>
    </row>
    <row r="452" spans="1:10" x14ac:dyDescent="0.25">
      <c r="A452" s="515">
        <v>3</v>
      </c>
      <c r="B452" s="516" t="s">
        <v>869</v>
      </c>
      <c r="C452" s="515" t="s">
        <v>867</v>
      </c>
      <c r="D452" s="515">
        <v>15</v>
      </c>
      <c r="E452" s="517">
        <v>200</v>
      </c>
      <c r="F452" s="517">
        <v>3000</v>
      </c>
      <c r="G452" s="666"/>
      <c r="H452" s="666"/>
      <c r="I452" s="664"/>
      <c r="J452" s="664"/>
    </row>
    <row r="453" spans="1:10" x14ac:dyDescent="0.25">
      <c r="A453" s="515">
        <v>4</v>
      </c>
      <c r="B453" s="516" t="s">
        <v>870</v>
      </c>
      <c r="C453" s="515" t="s">
        <v>867</v>
      </c>
      <c r="D453" s="515">
        <v>50</v>
      </c>
      <c r="E453" s="517">
        <v>190</v>
      </c>
      <c r="F453" s="517">
        <v>9500</v>
      </c>
      <c r="G453" s="666"/>
      <c r="H453" s="666"/>
      <c r="I453" s="664"/>
      <c r="J453" s="664"/>
    </row>
    <row r="454" spans="1:10" x14ac:dyDescent="0.25">
      <c r="A454" s="515">
        <v>5</v>
      </c>
      <c r="B454" s="516" t="s">
        <v>871</v>
      </c>
      <c r="C454" s="515" t="s">
        <v>867</v>
      </c>
      <c r="D454" s="515">
        <v>20</v>
      </c>
      <c r="E454" s="517">
        <v>200</v>
      </c>
      <c r="F454" s="517">
        <v>4000</v>
      </c>
      <c r="G454" s="666"/>
      <c r="H454" s="666"/>
      <c r="I454" s="664"/>
      <c r="J454" s="664"/>
    </row>
    <row r="455" spans="1:10" x14ac:dyDescent="0.25">
      <c r="A455" s="515">
        <v>6</v>
      </c>
      <c r="B455" s="516" t="s">
        <v>872</v>
      </c>
      <c r="C455" s="515" t="s">
        <v>867</v>
      </c>
      <c r="D455" s="515">
        <v>0</v>
      </c>
      <c r="E455" s="517">
        <v>0</v>
      </c>
      <c r="F455" s="517">
        <v>0</v>
      </c>
      <c r="G455" s="666"/>
      <c r="H455" s="666"/>
      <c r="I455" s="664"/>
      <c r="J455" s="664"/>
    </row>
    <row r="456" spans="1:10" x14ac:dyDescent="0.25">
      <c r="A456" s="515">
        <v>7</v>
      </c>
      <c r="B456" s="516" t="s">
        <v>873</v>
      </c>
      <c r="C456" s="515" t="s">
        <v>867</v>
      </c>
      <c r="D456" s="515">
        <v>3</v>
      </c>
      <c r="E456" s="517">
        <v>200</v>
      </c>
      <c r="F456" s="517">
        <v>600</v>
      </c>
      <c r="G456" s="666"/>
      <c r="H456" s="666"/>
      <c r="I456" s="664"/>
      <c r="J456" s="664"/>
    </row>
    <row r="457" spans="1:10" x14ac:dyDescent="0.25">
      <c r="A457" s="515">
        <v>8</v>
      </c>
      <c r="B457" s="516" t="s">
        <v>874</v>
      </c>
      <c r="C457" s="515" t="s">
        <v>867</v>
      </c>
      <c r="D457" s="515">
        <v>50</v>
      </c>
      <c r="E457" s="517">
        <v>200</v>
      </c>
      <c r="F457" s="517">
        <v>10000</v>
      </c>
      <c r="G457" s="666"/>
      <c r="H457" s="666"/>
      <c r="I457" s="664"/>
      <c r="J457" s="664"/>
    </row>
    <row r="458" spans="1:10" x14ac:dyDescent="0.25">
      <c r="A458" s="515">
        <v>9</v>
      </c>
      <c r="B458" s="516" t="s">
        <v>875</v>
      </c>
      <c r="C458" s="515" t="s">
        <v>837</v>
      </c>
      <c r="D458" s="515">
        <v>8</v>
      </c>
      <c r="E458" s="517">
        <v>200</v>
      </c>
      <c r="F458" s="517">
        <v>1600</v>
      </c>
      <c r="G458" s="666"/>
      <c r="H458" s="666"/>
      <c r="I458" s="664"/>
      <c r="J458" s="664"/>
    </row>
    <row r="459" spans="1:10" x14ac:dyDescent="0.25">
      <c r="A459" s="515">
        <v>10</v>
      </c>
      <c r="B459" s="516" t="s">
        <v>876</v>
      </c>
      <c r="C459" s="515" t="s">
        <v>837</v>
      </c>
      <c r="D459" s="515">
        <v>10</v>
      </c>
      <c r="E459" s="517">
        <v>100</v>
      </c>
      <c r="F459" s="517">
        <v>1000</v>
      </c>
      <c r="G459" s="666"/>
      <c r="H459" s="666"/>
      <c r="I459" s="664"/>
      <c r="J459" s="664"/>
    </row>
    <row r="460" spans="1:10" x14ac:dyDescent="0.25">
      <c r="A460" s="515">
        <v>11</v>
      </c>
      <c r="B460" s="516" t="s">
        <v>877</v>
      </c>
      <c r="C460" s="515" t="s">
        <v>837</v>
      </c>
      <c r="D460" s="515">
        <v>4</v>
      </c>
      <c r="E460" s="517">
        <v>100</v>
      </c>
      <c r="F460" s="517">
        <v>400</v>
      </c>
      <c r="G460" s="666"/>
      <c r="H460" s="666"/>
      <c r="I460" s="664"/>
      <c r="J460" s="664"/>
    </row>
    <row r="461" spans="1:10" ht="45" x14ac:dyDescent="0.25">
      <c r="A461" s="515">
        <v>12</v>
      </c>
      <c r="B461" s="516" t="s">
        <v>878</v>
      </c>
      <c r="C461" s="515" t="s">
        <v>837</v>
      </c>
      <c r="D461" s="515">
        <v>2</v>
      </c>
      <c r="E461" s="517">
        <v>200</v>
      </c>
      <c r="F461" s="517">
        <v>400</v>
      </c>
      <c r="G461" s="666"/>
      <c r="H461" s="666"/>
      <c r="I461" s="664"/>
      <c r="J461" s="664"/>
    </row>
    <row r="462" spans="1:10" ht="60" x14ac:dyDescent="0.25">
      <c r="A462" s="515">
        <v>13</v>
      </c>
      <c r="B462" s="516" t="s">
        <v>879</v>
      </c>
      <c r="C462" s="515" t="s">
        <v>880</v>
      </c>
      <c r="D462" s="515">
        <v>2</v>
      </c>
      <c r="E462" s="517">
        <v>300</v>
      </c>
      <c r="F462" s="517">
        <v>600</v>
      </c>
      <c r="G462" s="666"/>
      <c r="H462" s="666"/>
      <c r="I462" s="664"/>
      <c r="J462" s="664"/>
    </row>
    <row r="463" spans="1:10" ht="30" x14ac:dyDescent="0.25">
      <c r="A463" s="515">
        <v>14</v>
      </c>
      <c r="B463" s="518" t="s">
        <v>881</v>
      </c>
      <c r="C463" s="515" t="s">
        <v>880</v>
      </c>
      <c r="D463" s="515">
        <v>1</v>
      </c>
      <c r="E463" s="517">
        <v>300</v>
      </c>
      <c r="F463" s="517">
        <v>300</v>
      </c>
      <c r="G463" s="666"/>
      <c r="H463" s="666"/>
      <c r="I463" s="664"/>
      <c r="J463" s="664"/>
    </row>
    <row r="464" spans="1:10" ht="60" x14ac:dyDescent="0.25">
      <c r="A464" s="515">
        <v>15</v>
      </c>
      <c r="B464" s="518" t="s">
        <v>882</v>
      </c>
      <c r="C464" s="515" t="s">
        <v>883</v>
      </c>
      <c r="D464" s="515">
        <v>2</v>
      </c>
      <c r="E464" s="517">
        <v>40</v>
      </c>
      <c r="F464" s="517">
        <v>80</v>
      </c>
      <c r="G464" s="666"/>
      <c r="H464" s="666"/>
      <c r="I464" s="664"/>
      <c r="J464" s="664"/>
    </row>
    <row r="465" spans="1:10" ht="30" x14ac:dyDescent="0.25">
      <c r="A465" s="515">
        <v>16</v>
      </c>
      <c r="B465" s="518" t="s">
        <v>884</v>
      </c>
      <c r="C465" s="515" t="s">
        <v>867</v>
      </c>
      <c r="D465" s="515">
        <v>80</v>
      </c>
      <c r="E465" s="517">
        <v>155</v>
      </c>
      <c r="F465" s="517">
        <v>12400</v>
      </c>
      <c r="G465" s="666"/>
      <c r="H465" s="666"/>
      <c r="I465" s="664"/>
      <c r="J465" s="664"/>
    </row>
    <row r="466" spans="1:10" ht="45" x14ac:dyDescent="0.25">
      <c r="A466" s="515">
        <v>17</v>
      </c>
      <c r="B466" s="518" t="s">
        <v>885</v>
      </c>
      <c r="C466" s="515" t="s">
        <v>867</v>
      </c>
      <c r="D466" s="515">
        <v>20</v>
      </c>
      <c r="E466" s="517">
        <v>450</v>
      </c>
      <c r="F466" s="517">
        <v>9000</v>
      </c>
      <c r="G466" s="666"/>
      <c r="H466" s="666"/>
      <c r="I466" s="664"/>
      <c r="J466" s="664"/>
    </row>
    <row r="467" spans="1:10" x14ac:dyDescent="0.25">
      <c r="A467" s="515">
        <v>18</v>
      </c>
      <c r="B467" s="518" t="s">
        <v>886</v>
      </c>
      <c r="C467" s="515" t="s">
        <v>857</v>
      </c>
      <c r="D467" s="515">
        <v>20</v>
      </c>
      <c r="E467" s="517">
        <v>160</v>
      </c>
      <c r="F467" s="517">
        <v>3200</v>
      </c>
      <c r="G467" s="666"/>
      <c r="H467" s="666"/>
      <c r="I467" s="664"/>
      <c r="J467" s="664"/>
    </row>
    <row r="468" spans="1:10" x14ac:dyDescent="0.25">
      <c r="A468" s="515"/>
      <c r="B468" s="518"/>
      <c r="C468" s="515"/>
      <c r="D468" s="515"/>
      <c r="E468" s="517"/>
      <c r="F468" s="517"/>
      <c r="G468" s="666"/>
      <c r="H468" s="666"/>
      <c r="I468" s="682"/>
      <c r="J468" s="664"/>
    </row>
    <row r="469" spans="1:10" x14ac:dyDescent="0.25">
      <c r="A469" s="528"/>
      <c r="B469" s="529"/>
      <c r="C469" s="528"/>
      <c r="D469" s="528"/>
      <c r="E469" s="525" t="s">
        <v>864</v>
      </c>
      <c r="F469" s="525">
        <f>SUM(F450:F468)</f>
        <v>140080</v>
      </c>
      <c r="G469" s="676"/>
      <c r="H469" s="676"/>
      <c r="I469" s="676"/>
      <c r="J469" s="683"/>
    </row>
    <row r="470" spans="1:10" ht="31.5" customHeight="1" x14ac:dyDescent="0.25">
      <c r="A470" s="889"/>
      <c r="B470" s="881"/>
      <c r="C470" s="881"/>
      <c r="D470" s="881"/>
      <c r="E470" s="881"/>
      <c r="F470" s="890"/>
      <c r="G470" s="679"/>
      <c r="H470" s="679"/>
      <c r="I470" s="679"/>
      <c r="J470" s="679"/>
    </row>
    <row r="471" spans="1:10" ht="31.5" customHeight="1" x14ac:dyDescent="0.25">
      <c r="A471" s="650"/>
      <c r="B471" s="878" t="s">
        <v>830</v>
      </c>
      <c r="C471" s="879"/>
      <c r="D471" s="879"/>
      <c r="E471" s="879"/>
      <c r="F471" s="879"/>
      <c r="G471" s="880"/>
      <c r="H471" s="679"/>
      <c r="I471" s="679"/>
      <c r="J471" s="679"/>
    </row>
    <row r="472" spans="1:10" ht="31.5" customHeight="1" x14ac:dyDescent="0.25">
      <c r="A472" s="650"/>
      <c r="B472" s="875" t="s">
        <v>831</v>
      </c>
      <c r="C472" s="876"/>
      <c r="D472" s="876"/>
      <c r="E472" s="876"/>
      <c r="F472" s="876"/>
      <c r="G472" s="877"/>
      <c r="H472" s="679"/>
      <c r="I472" s="679"/>
      <c r="J472" s="679"/>
    </row>
    <row r="473" spans="1:10" ht="23.25" customHeight="1" x14ac:dyDescent="0.25">
      <c r="A473" s="650"/>
      <c r="B473" s="651"/>
      <c r="C473" s="881" t="s">
        <v>990</v>
      </c>
      <c r="D473" s="881"/>
      <c r="E473" s="651"/>
      <c r="F473" s="652"/>
      <c r="G473" s="684"/>
      <c r="H473" s="684"/>
      <c r="I473" s="684"/>
      <c r="J473" s="684"/>
    </row>
    <row r="474" spans="1:10" ht="90" x14ac:dyDescent="0.25">
      <c r="A474" s="515">
        <v>1</v>
      </c>
      <c r="B474" s="518" t="s">
        <v>887</v>
      </c>
      <c r="C474" s="515" t="s">
        <v>837</v>
      </c>
      <c r="D474" s="515">
        <v>12</v>
      </c>
      <c r="E474" s="517">
        <v>1000</v>
      </c>
      <c r="F474" s="517">
        <v>12000</v>
      </c>
      <c r="G474" s="665"/>
      <c r="H474" s="667"/>
      <c r="I474" s="675"/>
      <c r="J474" s="675"/>
    </row>
    <row r="475" spans="1:10" x14ac:dyDescent="0.25">
      <c r="A475" s="515">
        <v>2</v>
      </c>
      <c r="B475" s="518" t="s">
        <v>888</v>
      </c>
      <c r="C475" s="515" t="s">
        <v>837</v>
      </c>
      <c r="D475" s="515">
        <v>2</v>
      </c>
      <c r="E475" s="517">
        <v>2500</v>
      </c>
      <c r="F475" s="517">
        <f>D475*E475</f>
        <v>5000</v>
      </c>
      <c r="G475" s="665"/>
      <c r="H475" s="667"/>
      <c r="I475" s="675"/>
      <c r="J475" s="675"/>
    </row>
    <row r="476" spans="1:10" x14ac:dyDescent="0.25">
      <c r="A476" s="527"/>
      <c r="B476" s="530"/>
      <c r="C476" s="530"/>
      <c r="D476" s="530"/>
      <c r="E476" s="531" t="s">
        <v>864</v>
      </c>
      <c r="F476" s="531">
        <f>SUM(F474:F475)</f>
        <v>17000</v>
      </c>
      <c r="G476" s="685"/>
      <c r="H476" s="686"/>
      <c r="I476" s="687"/>
      <c r="J476" s="687"/>
    </row>
    <row r="477" spans="1:10" x14ac:dyDescent="0.25">
      <c r="A477" s="532"/>
      <c r="B477" s="533"/>
      <c r="C477" s="532"/>
      <c r="D477" s="532"/>
      <c r="E477" s="534" t="s">
        <v>889</v>
      </c>
      <c r="F477" s="534"/>
      <c r="G477" s="676"/>
      <c r="H477" s="688"/>
      <c r="I477" s="677"/>
      <c r="J477" s="678"/>
    </row>
    <row r="478" spans="1:10" x14ac:dyDescent="0.25">
      <c r="A478" s="535"/>
      <c r="B478" s="536"/>
      <c r="C478" s="537"/>
      <c r="D478" s="657"/>
      <c r="E478" s="657"/>
      <c r="F478" s="681"/>
      <c r="G478" s="676"/>
      <c r="H478" s="688"/>
      <c r="I478" s="677"/>
      <c r="J478" s="678"/>
    </row>
    <row r="481" spans="1:7" ht="18.75" x14ac:dyDescent="0.3">
      <c r="A481" s="444" t="s">
        <v>824</v>
      </c>
      <c r="B481" s="435"/>
      <c r="C481" s="435"/>
      <c r="D481" s="435"/>
      <c r="E481" s="208"/>
      <c r="F481" s="208"/>
    </row>
    <row r="482" spans="1:7" x14ac:dyDescent="0.25">
      <c r="A482" s="208"/>
      <c r="B482" s="208"/>
      <c r="C482" s="208"/>
      <c r="D482" s="208"/>
      <c r="E482" s="208"/>
      <c r="F482" s="208"/>
    </row>
    <row r="483" spans="1:7" ht="18.75" x14ac:dyDescent="0.3">
      <c r="A483" s="435" t="s">
        <v>19</v>
      </c>
      <c r="B483" s="435"/>
      <c r="C483" s="208"/>
      <c r="D483" s="837" t="s">
        <v>891</v>
      </c>
      <c r="E483" s="837"/>
      <c r="F483" s="837"/>
    </row>
    <row r="484" spans="1:7" ht="18.75" x14ac:dyDescent="0.3">
      <c r="A484" s="436" t="s">
        <v>675</v>
      </c>
      <c r="B484" s="435"/>
      <c r="C484" s="208"/>
      <c r="D484" s="837"/>
      <c r="E484" s="837"/>
      <c r="F484" s="837"/>
    </row>
    <row r="485" spans="1:7" ht="18.75" x14ac:dyDescent="0.3">
      <c r="A485" s="470" t="s">
        <v>677</v>
      </c>
      <c r="B485" s="470"/>
      <c r="C485" s="208"/>
      <c r="D485" s="799" t="s">
        <v>774</v>
      </c>
      <c r="E485" s="799"/>
      <c r="F485" s="441"/>
    </row>
    <row r="486" spans="1:7" x14ac:dyDescent="0.25">
      <c r="A486" s="208"/>
      <c r="B486" s="1032" t="s">
        <v>989</v>
      </c>
      <c r="C486" s="1032"/>
      <c r="D486" s="1032"/>
      <c r="E486" s="208"/>
      <c r="F486" s="208"/>
    </row>
    <row r="487" spans="1:7" x14ac:dyDescent="0.25">
      <c r="A487" s="418">
        <v>1</v>
      </c>
      <c r="B487" s="418">
        <v>2</v>
      </c>
      <c r="C487" s="418">
        <v>3</v>
      </c>
      <c r="D487" s="418">
        <v>4</v>
      </c>
      <c r="E487" s="418">
        <v>5</v>
      </c>
      <c r="F487" s="208"/>
    </row>
    <row r="488" spans="1:7" ht="30" customHeight="1" x14ac:dyDescent="0.25">
      <c r="A488" s="5">
        <v>1</v>
      </c>
      <c r="B488" s="826" t="s">
        <v>890</v>
      </c>
      <c r="C488" s="827"/>
      <c r="D488" s="828"/>
      <c r="E488" s="442">
        <v>9770</v>
      </c>
      <c r="F488" s="208"/>
    </row>
    <row r="489" spans="1:7" x14ac:dyDescent="0.25">
      <c r="A489" s="838" t="s">
        <v>344</v>
      </c>
      <c r="B489" s="838"/>
      <c r="C489" s="5"/>
      <c r="D489" s="5"/>
      <c r="E489" s="457">
        <f>E488</f>
        <v>9770</v>
      </c>
      <c r="F489" s="208"/>
    </row>
    <row r="492" spans="1:7" ht="18.75" x14ac:dyDescent="0.3">
      <c r="A492" s="444" t="s">
        <v>892</v>
      </c>
      <c r="B492" s="435"/>
      <c r="C492" s="435"/>
      <c r="D492" s="435"/>
      <c r="E492" s="435"/>
      <c r="F492" s="435"/>
      <c r="G492" s="208"/>
    </row>
    <row r="493" spans="1:7" x14ac:dyDescent="0.25">
      <c r="A493" s="208"/>
      <c r="B493" s="208"/>
      <c r="C493" s="208"/>
      <c r="D493" s="208"/>
      <c r="E493" s="208"/>
      <c r="F493" s="208"/>
      <c r="G493" s="208"/>
    </row>
    <row r="494" spans="1:7" ht="28.5" customHeight="1" x14ac:dyDescent="0.3">
      <c r="A494" s="435" t="s">
        <v>19</v>
      </c>
      <c r="B494" s="435"/>
      <c r="C494" s="798" t="s">
        <v>893</v>
      </c>
      <c r="D494" s="798"/>
      <c r="E494" s="439"/>
      <c r="F494" s="439"/>
      <c r="G494" s="208"/>
    </row>
    <row r="495" spans="1:7" ht="18.75" x14ac:dyDescent="0.3">
      <c r="A495" s="436" t="s">
        <v>675</v>
      </c>
      <c r="B495" s="435"/>
      <c r="C495" s="799" t="s">
        <v>683</v>
      </c>
      <c r="D495" s="799"/>
      <c r="E495" s="799"/>
      <c r="F495" s="799"/>
      <c r="G495" s="208"/>
    </row>
    <row r="496" spans="1:7" ht="18.75" x14ac:dyDescent="0.3">
      <c r="A496" s="800" t="s">
        <v>677</v>
      </c>
      <c r="B496" s="800"/>
      <c r="C496" s="799" t="s">
        <v>774</v>
      </c>
      <c r="D496" s="799"/>
      <c r="E496" s="437"/>
      <c r="F496" s="437"/>
      <c r="G496" s="208"/>
    </row>
    <row r="497" spans="1:7" x14ac:dyDescent="0.25">
      <c r="A497" s="208"/>
      <c r="B497" s="1033" t="s">
        <v>1006</v>
      </c>
      <c r="C497" s="1033"/>
      <c r="D497" s="1033"/>
      <c r="E497" s="208"/>
      <c r="F497" s="208"/>
      <c r="G497" s="208"/>
    </row>
    <row r="498" spans="1:7" ht="45" x14ac:dyDescent="0.25">
      <c r="A498" s="418" t="s">
        <v>23</v>
      </c>
      <c r="B498" s="418" t="s">
        <v>30</v>
      </c>
      <c r="C498" s="418" t="s">
        <v>72</v>
      </c>
      <c r="D498" s="418" t="s">
        <v>74</v>
      </c>
      <c r="E498" s="5" t="s">
        <v>31</v>
      </c>
      <c r="F498" s="479"/>
      <c r="G498" s="208"/>
    </row>
    <row r="499" spans="1:7" x14ac:dyDescent="0.25">
      <c r="A499" s="418">
        <v>1</v>
      </c>
      <c r="B499" s="418">
        <v>2</v>
      </c>
      <c r="C499" s="418">
        <v>3</v>
      </c>
      <c r="D499" s="418">
        <v>5</v>
      </c>
      <c r="E499" s="415">
        <v>6</v>
      </c>
      <c r="F499" s="539"/>
      <c r="G499" s="208"/>
    </row>
    <row r="500" spans="1:7" ht="25.5" x14ac:dyDescent="0.25">
      <c r="A500" s="418">
        <v>1</v>
      </c>
      <c r="B500" s="447" t="s">
        <v>894</v>
      </c>
      <c r="C500" s="418">
        <v>1</v>
      </c>
      <c r="D500" s="541">
        <v>575131.56000000006</v>
      </c>
      <c r="E500" s="510">
        <f>D500</f>
        <v>575131.56000000006</v>
      </c>
      <c r="F500" s="540"/>
      <c r="G500" s="208"/>
    </row>
    <row r="501" spans="1:7" x14ac:dyDescent="0.25">
      <c r="A501" s="418"/>
      <c r="B501" s="508" t="s">
        <v>407</v>
      </c>
      <c r="C501" s="418"/>
      <c r="D501" s="418"/>
      <c r="E501" s="510">
        <f>SUM(E500:E500)</f>
        <v>575131.56000000006</v>
      </c>
      <c r="F501" s="540"/>
      <c r="G501" s="208"/>
    </row>
    <row r="504" spans="1:7" ht="18.75" x14ac:dyDescent="0.3">
      <c r="A504" s="435" t="s">
        <v>19</v>
      </c>
      <c r="B504" s="435"/>
      <c r="C504" s="798" t="s">
        <v>895</v>
      </c>
      <c r="D504" s="798"/>
      <c r="E504" s="439"/>
      <c r="F504" s="439"/>
    </row>
    <row r="505" spans="1:7" ht="18.75" x14ac:dyDescent="0.3">
      <c r="A505" s="436" t="s">
        <v>675</v>
      </c>
      <c r="B505" s="435"/>
      <c r="C505" s="799" t="s">
        <v>683</v>
      </c>
      <c r="D505" s="799"/>
      <c r="E505" s="799"/>
      <c r="F505" s="799"/>
    </row>
    <row r="506" spans="1:7" ht="18.75" x14ac:dyDescent="0.3">
      <c r="A506" s="800" t="s">
        <v>677</v>
      </c>
      <c r="B506" s="800"/>
      <c r="C506" s="799" t="s">
        <v>684</v>
      </c>
      <c r="D506" s="799"/>
      <c r="E506" s="437"/>
      <c r="F506" s="437"/>
    </row>
    <row r="507" spans="1:7" x14ac:dyDescent="0.25">
      <c r="A507" s="208"/>
      <c r="B507" s="208"/>
      <c r="C507" s="208"/>
      <c r="D507" s="208"/>
      <c r="E507" s="208"/>
      <c r="F507" s="208"/>
    </row>
    <row r="508" spans="1:7" x14ac:dyDescent="0.25">
      <c r="A508" s="811" t="s">
        <v>23</v>
      </c>
      <c r="B508" s="801" t="s">
        <v>30</v>
      </c>
      <c r="C508" s="801" t="s">
        <v>75</v>
      </c>
      <c r="D508" s="801" t="s">
        <v>795</v>
      </c>
      <c r="E508" s="801" t="s">
        <v>76</v>
      </c>
      <c r="F508" s="801" t="s">
        <v>31</v>
      </c>
    </row>
    <row r="509" spans="1:7" x14ac:dyDescent="0.25">
      <c r="A509" s="813"/>
      <c r="B509" s="801"/>
      <c r="C509" s="801"/>
      <c r="D509" s="801"/>
      <c r="E509" s="801"/>
      <c r="F509" s="801"/>
    </row>
    <row r="510" spans="1:7" x14ac:dyDescent="0.25">
      <c r="A510" s="445">
        <v>1</v>
      </c>
      <c r="B510" s="445">
        <v>2</v>
      </c>
      <c r="C510" s="445">
        <v>3</v>
      </c>
      <c r="D510" s="445">
        <v>4</v>
      </c>
      <c r="E510" s="445">
        <v>5</v>
      </c>
      <c r="F510" s="445">
        <v>6</v>
      </c>
    </row>
    <row r="511" spans="1:7" ht="25.5" x14ac:dyDescent="0.25">
      <c r="A511" s="447">
        <v>1</v>
      </c>
      <c r="B511" s="447" t="s">
        <v>896</v>
      </c>
      <c r="C511" s="447">
        <v>1</v>
      </c>
      <c r="D511" s="448">
        <v>1</v>
      </c>
      <c r="E511" s="448">
        <f>170311.55+10000+130000</f>
        <v>310311.55</v>
      </c>
      <c r="F511" s="448">
        <f>E511</f>
        <v>310311.55</v>
      </c>
    </row>
    <row r="512" spans="1:7" x14ac:dyDescent="0.25">
      <c r="A512" s="797" t="s">
        <v>344</v>
      </c>
      <c r="B512" s="797"/>
      <c r="C512" s="447"/>
      <c r="D512" s="448"/>
      <c r="E512" s="448"/>
      <c r="F512" s="448">
        <f>SUM(F511:F511)</f>
        <v>310311.55</v>
      </c>
    </row>
    <row r="515" spans="1:7" x14ac:dyDescent="0.25">
      <c r="A515" s="208"/>
      <c r="B515" s="208"/>
      <c r="C515" s="208"/>
      <c r="D515" s="208"/>
      <c r="E515" s="208"/>
      <c r="F515" s="208"/>
      <c r="G515" s="208"/>
    </row>
    <row r="516" spans="1:7" x14ac:dyDescent="0.25">
      <c r="A516" s="208"/>
      <c r="B516" s="208"/>
      <c r="C516" s="208"/>
      <c r="D516" s="208"/>
      <c r="E516" s="208"/>
      <c r="F516" s="208"/>
      <c r="G516" s="441"/>
    </row>
    <row r="517" spans="1:7" x14ac:dyDescent="0.25">
      <c r="A517" s="208"/>
      <c r="B517" s="208"/>
      <c r="C517" s="208"/>
      <c r="D517" s="208"/>
      <c r="E517" s="208"/>
      <c r="F517" s="208"/>
      <c r="G517" s="208"/>
    </row>
    <row r="518" spans="1:7" ht="18.75" x14ac:dyDescent="0.3">
      <c r="A518" s="444" t="s">
        <v>897</v>
      </c>
      <c r="B518" s="435"/>
      <c r="C518" s="435"/>
      <c r="D518" s="435"/>
      <c r="E518" s="208"/>
      <c r="F518" s="208"/>
      <c r="G518" s="208"/>
    </row>
    <row r="519" spans="1:7" ht="18.75" x14ac:dyDescent="0.3">
      <c r="A519" s="444"/>
      <c r="B519" s="435"/>
      <c r="C519" s="435"/>
      <c r="D519" s="435"/>
      <c r="E519" s="208"/>
      <c r="F519" s="208"/>
      <c r="G519" s="208"/>
    </row>
    <row r="520" spans="1:7" ht="18.75" x14ac:dyDescent="0.3">
      <c r="A520" s="435" t="s">
        <v>19</v>
      </c>
      <c r="B520" s="435"/>
      <c r="C520" s="798" t="s">
        <v>898</v>
      </c>
      <c r="D520" s="798"/>
      <c r="E520" s="439"/>
      <c r="F520" s="439"/>
      <c r="G520" s="208"/>
    </row>
    <row r="521" spans="1:7" ht="18.75" x14ac:dyDescent="0.3">
      <c r="A521" s="436" t="s">
        <v>675</v>
      </c>
      <c r="B521" s="435"/>
      <c r="C521" s="799" t="s">
        <v>683</v>
      </c>
      <c r="D521" s="799"/>
      <c r="E521" s="799"/>
      <c r="F521" s="799"/>
      <c r="G521" s="208"/>
    </row>
    <row r="522" spans="1:7" ht="18.75" x14ac:dyDescent="0.3">
      <c r="A522" s="800" t="s">
        <v>677</v>
      </c>
      <c r="B522" s="800"/>
      <c r="C522" s="799" t="s">
        <v>774</v>
      </c>
      <c r="D522" s="799"/>
      <c r="E522" s="437"/>
      <c r="F522" s="437"/>
      <c r="G522" s="208"/>
    </row>
    <row r="523" spans="1:7" x14ac:dyDescent="0.25">
      <c r="A523" s="208"/>
      <c r="B523" s="1032" t="s">
        <v>1055</v>
      </c>
      <c r="C523" s="1032"/>
      <c r="D523" s="1032"/>
      <c r="E523" s="1032"/>
      <c r="F523" s="208"/>
      <c r="G523" s="208"/>
    </row>
    <row r="524" spans="1:7" x14ac:dyDescent="0.25">
      <c r="A524" s="811">
        <v>4</v>
      </c>
      <c r="B524" s="801" t="s">
        <v>30</v>
      </c>
      <c r="C524" s="801" t="s">
        <v>75</v>
      </c>
      <c r="D524" s="801" t="s">
        <v>795</v>
      </c>
      <c r="E524" s="801" t="s">
        <v>76</v>
      </c>
      <c r="F524" s="801" t="s">
        <v>31</v>
      </c>
      <c r="G524" s="208"/>
    </row>
    <row r="525" spans="1:7" x14ac:dyDescent="0.25">
      <c r="A525" s="813"/>
      <c r="B525" s="801"/>
      <c r="C525" s="801"/>
      <c r="D525" s="801"/>
      <c r="E525" s="801"/>
      <c r="F525" s="801"/>
      <c r="G525" s="208"/>
    </row>
    <row r="526" spans="1:7" x14ac:dyDescent="0.25">
      <c r="A526" s="445">
        <v>1</v>
      </c>
      <c r="B526" s="445">
        <v>2</v>
      </c>
      <c r="C526" s="445">
        <v>3</v>
      </c>
      <c r="D526" s="445">
        <v>4</v>
      </c>
      <c r="E526" s="445">
        <v>5</v>
      </c>
      <c r="F526" s="445">
        <v>6</v>
      </c>
      <c r="G526" s="208"/>
    </row>
    <row r="527" spans="1:7" ht="25.5" x14ac:dyDescent="0.25">
      <c r="A527" s="447">
        <v>1</v>
      </c>
      <c r="B527" s="447" t="s">
        <v>896</v>
      </c>
      <c r="C527" s="447">
        <v>1</v>
      </c>
      <c r="D527" s="448">
        <v>1</v>
      </c>
      <c r="E527" s="448">
        <v>294554</v>
      </c>
      <c r="F527" s="448">
        <f>E527</f>
        <v>294554</v>
      </c>
      <c r="G527" s="208"/>
    </row>
    <row r="528" spans="1:7" x14ac:dyDescent="0.25">
      <c r="A528" s="797" t="s">
        <v>344</v>
      </c>
      <c r="B528" s="797"/>
      <c r="C528" s="447"/>
      <c r="D528" s="448"/>
      <c r="E528" s="448"/>
      <c r="F528" s="448">
        <f>SUM(F527:F527)</f>
        <v>294554</v>
      </c>
      <c r="G528" s="208"/>
    </row>
    <row r="532" spans="1:6" ht="22.5" customHeight="1" x14ac:dyDescent="0.25">
      <c r="A532" s="869" t="s">
        <v>899</v>
      </c>
      <c r="B532" s="869"/>
      <c r="C532" s="869"/>
      <c r="D532" s="869"/>
      <c r="E532" s="869"/>
      <c r="F532" s="869"/>
    </row>
    <row r="533" spans="1:6" x14ac:dyDescent="0.25">
      <c r="A533" s="869"/>
      <c r="B533" s="869"/>
      <c r="C533" s="869"/>
      <c r="D533" s="869"/>
      <c r="E533" s="869"/>
      <c r="F533" s="869"/>
    </row>
    <row r="534" spans="1:6" ht="18.75" x14ac:dyDescent="0.3">
      <c r="A534" s="475"/>
      <c r="B534" s="475"/>
      <c r="C534" s="475"/>
      <c r="D534" s="475"/>
      <c r="E534" s="475"/>
      <c r="F534" s="475"/>
    </row>
    <row r="535" spans="1:6" ht="18.75" x14ac:dyDescent="0.25">
      <c r="A535" s="862" t="s">
        <v>900</v>
      </c>
      <c r="B535" s="862"/>
      <c r="C535" s="862"/>
      <c r="D535" s="862"/>
      <c r="E535" s="862"/>
      <c r="F535" s="862"/>
    </row>
    <row r="536" spans="1:6" ht="18.75" customHeight="1" x14ac:dyDescent="0.3">
      <c r="A536" s="435" t="s">
        <v>19</v>
      </c>
      <c r="B536" s="435"/>
      <c r="C536" s="840" t="s">
        <v>901</v>
      </c>
      <c r="D536" s="840"/>
      <c r="E536" s="840"/>
      <c r="F536" s="439"/>
    </row>
    <row r="537" spans="1:6" ht="18.75" x14ac:dyDescent="0.3">
      <c r="A537" s="436" t="s">
        <v>675</v>
      </c>
      <c r="B537" s="435"/>
      <c r="C537" s="799" t="s">
        <v>683</v>
      </c>
      <c r="D537" s="799"/>
      <c r="E537" s="799"/>
      <c r="F537" s="799"/>
    </row>
    <row r="538" spans="1:6" ht="18.75" x14ac:dyDescent="0.3">
      <c r="A538" s="800" t="s">
        <v>677</v>
      </c>
      <c r="B538" s="800"/>
      <c r="C538" s="799" t="s">
        <v>774</v>
      </c>
      <c r="D538" s="799"/>
      <c r="E538" s="437"/>
      <c r="F538" s="437"/>
    </row>
    <row r="539" spans="1:6" ht="18.75" x14ac:dyDescent="0.25">
      <c r="A539" s="542"/>
      <c r="B539" s="542"/>
      <c r="C539" s="542"/>
      <c r="D539" s="542"/>
      <c r="E539" s="542"/>
      <c r="F539" s="542"/>
    </row>
    <row r="540" spans="1:6" x14ac:dyDescent="0.25">
      <c r="A540" s="847" t="s">
        <v>23</v>
      </c>
      <c r="B540" s="793" t="s">
        <v>30</v>
      </c>
      <c r="C540" s="793" t="s">
        <v>694</v>
      </c>
      <c r="D540" s="793" t="s">
        <v>78</v>
      </c>
      <c r="E540" s="793" t="s">
        <v>695</v>
      </c>
      <c r="F540" s="208"/>
    </row>
    <row r="541" spans="1:6" x14ac:dyDescent="0.25">
      <c r="A541" s="848"/>
      <c r="B541" s="793"/>
      <c r="C541" s="793"/>
      <c r="D541" s="793"/>
      <c r="E541" s="793"/>
      <c r="F541" s="208"/>
    </row>
    <row r="542" spans="1:6" x14ac:dyDescent="0.25">
      <c r="A542" s="418">
        <v>1</v>
      </c>
      <c r="B542" s="418">
        <v>2</v>
      </c>
      <c r="C542" s="418">
        <v>3</v>
      </c>
      <c r="D542" s="418">
        <v>4</v>
      </c>
      <c r="E542" s="418">
        <v>5</v>
      </c>
      <c r="F542" s="208"/>
    </row>
    <row r="543" spans="1:6" x14ac:dyDescent="0.25">
      <c r="A543" s="415">
        <v>1</v>
      </c>
      <c r="B543" s="5" t="s">
        <v>902</v>
      </c>
      <c r="C543" s="5"/>
      <c r="D543" s="442">
        <v>15.4</v>
      </c>
      <c r="E543" s="442">
        <v>68425</v>
      </c>
      <c r="F543" s="208"/>
    </row>
    <row r="544" spans="1:6" x14ac:dyDescent="0.25">
      <c r="A544" s="838" t="s">
        <v>344</v>
      </c>
      <c r="B544" s="838"/>
      <c r="C544" s="5"/>
      <c r="D544" s="5"/>
      <c r="E544" s="457">
        <f>SUM(E543:E543)</f>
        <v>68425</v>
      </c>
      <c r="F544" s="208"/>
    </row>
    <row r="547" spans="1:9" ht="18.75" x14ac:dyDescent="0.3">
      <c r="A547" s="435" t="s">
        <v>19</v>
      </c>
      <c r="B547" s="435"/>
      <c r="C547" s="435"/>
      <c r="D547" s="874" t="s">
        <v>903</v>
      </c>
      <c r="E547" s="874"/>
      <c r="F547" s="874"/>
    </row>
    <row r="548" spans="1:9" ht="18.75" x14ac:dyDescent="0.3">
      <c r="A548" s="436" t="s">
        <v>675</v>
      </c>
      <c r="B548" s="435"/>
      <c r="C548" s="435"/>
      <c r="D548" s="868" t="s">
        <v>710</v>
      </c>
      <c r="E548" s="868"/>
      <c r="F548" s="868"/>
    </row>
    <row r="549" spans="1:9" ht="18.75" x14ac:dyDescent="0.3">
      <c r="A549" s="470" t="s">
        <v>677</v>
      </c>
      <c r="B549" s="470"/>
      <c r="C549" s="470"/>
      <c r="D549" s="471" t="s">
        <v>684</v>
      </c>
      <c r="E549" s="472"/>
      <c r="F549" s="472"/>
    </row>
    <row r="550" spans="1:9" ht="18.75" x14ac:dyDescent="0.3">
      <c r="A550" s="208"/>
      <c r="B550" s="443"/>
      <c r="C550" s="443"/>
      <c r="D550" s="443"/>
      <c r="E550" s="443"/>
      <c r="F550" s="443"/>
    </row>
    <row r="551" spans="1:9" ht="45" x14ac:dyDescent="0.25">
      <c r="A551" s="418" t="s">
        <v>23</v>
      </c>
      <c r="B551" s="891" t="s">
        <v>30</v>
      </c>
      <c r="C551" s="892"/>
      <c r="D551" s="418" t="s">
        <v>904</v>
      </c>
      <c r="E551" s="418" t="s">
        <v>905</v>
      </c>
      <c r="F551" s="418" t="s">
        <v>31</v>
      </c>
    </row>
    <row r="552" spans="1:9" x14ac:dyDescent="0.25">
      <c r="A552" s="418">
        <v>1</v>
      </c>
      <c r="B552" s="891">
        <v>2</v>
      </c>
      <c r="C552" s="892"/>
      <c r="D552" s="418">
        <v>4</v>
      </c>
      <c r="E552" s="418">
        <v>5</v>
      </c>
      <c r="F552" s="418">
        <v>6</v>
      </c>
    </row>
    <row r="553" spans="1:9" ht="70.5" customHeight="1" x14ac:dyDescent="0.25">
      <c r="A553" s="5">
        <v>1</v>
      </c>
      <c r="B553" s="844" t="s">
        <v>906</v>
      </c>
      <c r="C553" s="845"/>
      <c r="D553" s="5">
        <v>2</v>
      </c>
      <c r="E553" s="442">
        <v>35000</v>
      </c>
      <c r="F553" s="442">
        <f>E553*D553</f>
        <v>70000</v>
      </c>
    </row>
    <row r="554" spans="1:9" x14ac:dyDescent="0.25">
      <c r="A554" s="844" t="s">
        <v>344</v>
      </c>
      <c r="B554" s="893"/>
      <c r="C554" s="845"/>
      <c r="D554" s="5"/>
      <c r="E554" s="5"/>
      <c r="F554" s="442">
        <f>F553</f>
        <v>70000</v>
      </c>
    </row>
    <row r="557" spans="1:9" x14ac:dyDescent="0.25">
      <c r="A557" s="897" t="s">
        <v>910</v>
      </c>
      <c r="B557" s="897"/>
      <c r="C557" s="897"/>
      <c r="D557" s="897"/>
      <c r="E557" s="897"/>
      <c r="F557" s="897"/>
      <c r="G557" s="897"/>
      <c r="H557" s="897"/>
      <c r="I557" s="897"/>
    </row>
    <row r="558" spans="1:9" x14ac:dyDescent="0.25">
      <c r="A558" s="898" t="s">
        <v>911</v>
      </c>
      <c r="B558" s="898"/>
      <c r="C558" s="898"/>
      <c r="D558" s="898"/>
      <c r="E558" s="898"/>
      <c r="F558" s="898"/>
      <c r="G558" s="898"/>
      <c r="H558" s="898"/>
      <c r="I558" s="898"/>
    </row>
    <row r="559" spans="1:9" x14ac:dyDescent="0.25">
      <c r="A559" s="552"/>
      <c r="B559" s="553"/>
      <c r="C559" s="553"/>
      <c r="D559" s="553"/>
      <c r="E559" s="553"/>
      <c r="F559" s="553"/>
      <c r="G559" s="552"/>
      <c r="H559" s="552"/>
      <c r="I559" s="554"/>
    </row>
    <row r="560" spans="1:9" x14ac:dyDescent="0.25">
      <c r="A560" s="894" t="s">
        <v>907</v>
      </c>
      <c r="B560" s="895"/>
      <c r="C560" s="895"/>
      <c r="D560" s="895"/>
      <c r="E560" s="895"/>
      <c r="F560" s="895"/>
      <c r="G560" s="895"/>
      <c r="H560" s="895"/>
      <c r="I560" s="896"/>
    </row>
    <row r="561" spans="1:9" x14ac:dyDescent="0.25">
      <c r="A561" s="555" t="s">
        <v>243</v>
      </c>
      <c r="B561" s="555" t="s">
        <v>832</v>
      </c>
      <c r="C561" s="556" t="s">
        <v>834</v>
      </c>
      <c r="D561" s="557" t="s">
        <v>908</v>
      </c>
      <c r="E561" s="558" t="s">
        <v>114</v>
      </c>
      <c r="F561" s="556"/>
      <c r="G561" s="559"/>
      <c r="H561" s="560"/>
      <c r="I561" s="560"/>
    </row>
    <row r="562" spans="1:9" ht="45" x14ac:dyDescent="0.25">
      <c r="A562" s="561">
        <v>1</v>
      </c>
      <c r="B562" s="562" t="s">
        <v>909</v>
      </c>
      <c r="C562" s="563">
        <v>1</v>
      </c>
      <c r="D562" s="564">
        <v>10000</v>
      </c>
      <c r="E562" s="564">
        <f t="shared" ref="E562" si="8">C562*D562</f>
        <v>10000</v>
      </c>
      <c r="F562" s="565"/>
      <c r="G562" s="566"/>
      <c r="H562" s="567"/>
      <c r="I562" s="567"/>
    </row>
    <row r="563" spans="1:9" x14ac:dyDescent="0.25">
      <c r="A563" s="568"/>
      <c r="B563" s="569"/>
      <c r="C563" s="570"/>
      <c r="D563" s="571" t="s">
        <v>864</v>
      </c>
      <c r="E563" s="551">
        <f>SUM(E562)</f>
        <v>10000</v>
      </c>
      <c r="F563" s="572"/>
      <c r="G563" s="573"/>
      <c r="H563" s="572"/>
      <c r="I563" s="572">
        <f>SUM(I559)</f>
        <v>0</v>
      </c>
    </row>
    <row r="564" spans="1:9" x14ac:dyDescent="0.25">
      <c r="A564" s="552"/>
      <c r="B564" s="553"/>
      <c r="C564" s="553"/>
      <c r="D564" s="553"/>
      <c r="E564" s="553"/>
      <c r="F564" s="553"/>
      <c r="G564" s="552"/>
      <c r="H564" s="552"/>
      <c r="I564" s="554"/>
    </row>
    <row r="567" spans="1:9" ht="18.75" x14ac:dyDescent="0.3">
      <c r="A567" s="208"/>
      <c r="B567" s="873" t="s">
        <v>912</v>
      </c>
      <c r="C567" s="873"/>
      <c r="D567" s="873"/>
      <c r="E567" s="873"/>
      <c r="F567" s="873"/>
    </row>
    <row r="568" spans="1:9" ht="18.75" x14ac:dyDescent="0.3">
      <c r="A568" s="208"/>
      <c r="B568" s="502"/>
      <c r="C568" s="502"/>
      <c r="D568" s="502"/>
      <c r="E568" s="502"/>
      <c r="F568" s="502"/>
    </row>
    <row r="569" spans="1:9" ht="18.75" x14ac:dyDescent="0.3">
      <c r="A569" s="435" t="s">
        <v>19</v>
      </c>
      <c r="B569" s="435"/>
      <c r="C569" s="435"/>
      <c r="D569" s="874" t="s">
        <v>913</v>
      </c>
      <c r="E569" s="874"/>
      <c r="F569" s="874"/>
    </row>
    <row r="570" spans="1:9" ht="18.75" x14ac:dyDescent="0.3">
      <c r="A570" s="436" t="s">
        <v>675</v>
      </c>
      <c r="B570" s="435"/>
      <c r="C570" s="435"/>
      <c r="D570" s="868" t="s">
        <v>710</v>
      </c>
      <c r="E570" s="868"/>
      <c r="F570" s="868"/>
    </row>
    <row r="571" spans="1:9" ht="18.75" x14ac:dyDescent="0.3">
      <c r="A571" s="470" t="s">
        <v>677</v>
      </c>
      <c r="B571" s="470"/>
      <c r="C571" s="470"/>
      <c r="D571" s="471" t="s">
        <v>684</v>
      </c>
      <c r="E571" s="472"/>
      <c r="F571" s="472"/>
    </row>
    <row r="572" spans="1:9" ht="18.75" x14ac:dyDescent="0.3">
      <c r="A572" s="208"/>
      <c r="B572" s="443"/>
      <c r="C572" s="443"/>
      <c r="D572" s="443"/>
      <c r="E572" s="443"/>
      <c r="F572" s="443"/>
    </row>
    <row r="573" spans="1:9" ht="45" x14ac:dyDescent="0.25">
      <c r="A573" s="418" t="s">
        <v>23</v>
      </c>
      <c r="B573" s="891" t="s">
        <v>30</v>
      </c>
      <c r="C573" s="892"/>
      <c r="D573" s="418" t="s">
        <v>904</v>
      </c>
      <c r="E573" s="418" t="s">
        <v>905</v>
      </c>
      <c r="F573" s="418" t="s">
        <v>31</v>
      </c>
    </row>
    <row r="574" spans="1:9" x14ac:dyDescent="0.25">
      <c r="A574" s="418">
        <v>1</v>
      </c>
      <c r="B574" s="891">
        <v>2</v>
      </c>
      <c r="C574" s="892"/>
      <c r="D574" s="418">
        <v>4</v>
      </c>
      <c r="E574" s="418">
        <v>5</v>
      </c>
      <c r="F574" s="418">
        <v>6</v>
      </c>
    </row>
    <row r="575" spans="1:9" ht="74.25" customHeight="1" x14ac:dyDescent="0.25">
      <c r="A575" s="5">
        <v>1</v>
      </c>
      <c r="B575" s="844" t="s">
        <v>906</v>
      </c>
      <c r="C575" s="845"/>
      <c r="D575" s="5">
        <v>4</v>
      </c>
      <c r="E575" s="442">
        <v>55875</v>
      </c>
      <c r="F575" s="442">
        <v>223500</v>
      </c>
    </row>
    <row r="576" spans="1:9" x14ac:dyDescent="0.25">
      <c r="A576" s="844" t="s">
        <v>344</v>
      </c>
      <c r="B576" s="893"/>
      <c r="C576" s="845"/>
      <c r="D576" s="5"/>
      <c r="E576" s="5"/>
      <c r="F576" s="442">
        <f>F575</f>
        <v>223500</v>
      </c>
    </row>
    <row r="579" spans="1:6" x14ac:dyDescent="0.25">
      <c r="A579" s="208"/>
      <c r="B579" s="208"/>
      <c r="C579" s="208"/>
      <c r="D579" s="208"/>
      <c r="E579" s="208"/>
      <c r="F579" s="208"/>
    </row>
    <row r="580" spans="1:6" ht="18.75" x14ac:dyDescent="0.3">
      <c r="A580" s="842" t="s">
        <v>914</v>
      </c>
      <c r="B580" s="842"/>
      <c r="C580" s="842"/>
      <c r="D580" s="842"/>
      <c r="E580" s="842"/>
      <c r="F580" s="842"/>
    </row>
    <row r="581" spans="1:6" x14ac:dyDescent="0.25">
      <c r="A581" s="208"/>
      <c r="B581" s="208"/>
      <c r="C581" s="208"/>
      <c r="D581" s="208"/>
      <c r="E581" s="208"/>
      <c r="F581" s="208"/>
    </row>
    <row r="582" spans="1:6" ht="18.75" x14ac:dyDescent="0.3">
      <c r="A582" s="470" t="s">
        <v>915</v>
      </c>
      <c r="B582" s="208"/>
      <c r="C582" s="900" t="s">
        <v>916</v>
      </c>
      <c r="D582" s="900"/>
      <c r="E582" s="574"/>
      <c r="F582" s="441"/>
    </row>
    <row r="583" spans="1:6" ht="18.75" x14ac:dyDescent="0.3">
      <c r="A583" s="435" t="s">
        <v>675</v>
      </c>
      <c r="B583" s="435"/>
      <c r="C583" s="901" t="s">
        <v>917</v>
      </c>
      <c r="D583" s="901"/>
      <c r="E583" s="901"/>
      <c r="F583" s="440"/>
    </row>
    <row r="584" spans="1:6" ht="18.75" x14ac:dyDescent="0.3">
      <c r="A584" s="470" t="s">
        <v>677</v>
      </c>
      <c r="B584" s="470"/>
      <c r="C584" s="575" t="s">
        <v>684</v>
      </c>
      <c r="D584" s="575"/>
      <c r="E584" s="574"/>
      <c r="F584" s="441"/>
    </row>
    <row r="585" spans="1:6" x14ac:dyDescent="0.25">
      <c r="A585" s="208"/>
      <c r="B585" s="208"/>
      <c r="C585" s="208"/>
      <c r="D585" s="208"/>
      <c r="E585" s="208"/>
      <c r="F585" s="208"/>
    </row>
    <row r="586" spans="1:6" x14ac:dyDescent="0.25">
      <c r="A586" s="860" t="s">
        <v>918</v>
      </c>
      <c r="B586" s="768" t="s">
        <v>919</v>
      </c>
      <c r="C586" s="768" t="s">
        <v>920</v>
      </c>
      <c r="D586" s="768" t="s">
        <v>921</v>
      </c>
      <c r="E586" s="768" t="s">
        <v>828</v>
      </c>
      <c r="F586" s="208"/>
    </row>
    <row r="587" spans="1:6" x14ac:dyDescent="0.25">
      <c r="A587" s="861"/>
      <c r="B587" s="768"/>
      <c r="C587" s="768"/>
      <c r="D587" s="768"/>
      <c r="E587" s="768"/>
      <c r="F587" s="208"/>
    </row>
    <row r="588" spans="1:6" x14ac:dyDescent="0.25">
      <c r="A588" s="415">
        <v>1</v>
      </c>
      <c r="B588" s="415">
        <v>2</v>
      </c>
      <c r="C588" s="415">
        <v>3</v>
      </c>
      <c r="D588" s="415">
        <v>4</v>
      </c>
      <c r="E588" s="415">
        <v>5</v>
      </c>
      <c r="F588" s="208"/>
    </row>
    <row r="589" spans="1:6" ht="30" x14ac:dyDescent="0.25">
      <c r="A589" s="576">
        <v>1</v>
      </c>
      <c r="B589" s="576" t="s">
        <v>922</v>
      </c>
      <c r="C589" s="577">
        <v>5392.5</v>
      </c>
      <c r="D589" s="415">
        <v>12</v>
      </c>
      <c r="E589" s="577">
        <v>64710</v>
      </c>
      <c r="F589" s="208"/>
    </row>
    <row r="590" spans="1:6" x14ac:dyDescent="0.25">
      <c r="A590" s="576"/>
      <c r="B590" s="576"/>
      <c r="C590" s="576"/>
      <c r="D590" s="576"/>
      <c r="E590" s="577"/>
      <c r="F590" s="208"/>
    </row>
    <row r="591" spans="1:6" x14ac:dyDescent="0.25">
      <c r="A591" s="576"/>
      <c r="B591" s="576"/>
      <c r="C591" s="576"/>
      <c r="D591" s="576"/>
      <c r="E591" s="577"/>
      <c r="F591" s="208"/>
    </row>
    <row r="592" spans="1:6" x14ac:dyDescent="0.25">
      <c r="A592" s="902" t="s">
        <v>344</v>
      </c>
      <c r="B592" s="902"/>
      <c r="C592" s="576"/>
      <c r="D592" s="576"/>
      <c r="E592" s="577">
        <f>E589</f>
        <v>64710</v>
      </c>
      <c r="F592" s="208"/>
    </row>
    <row r="593" spans="1:6" x14ac:dyDescent="0.25">
      <c r="A593" s="208"/>
      <c r="B593" s="208"/>
      <c r="C593" s="208"/>
      <c r="D593" s="208"/>
      <c r="E593" s="208"/>
      <c r="F593" s="208"/>
    </row>
    <row r="594" spans="1:6" ht="18.75" x14ac:dyDescent="0.3">
      <c r="A594" s="444" t="s">
        <v>923</v>
      </c>
      <c r="B594" s="435"/>
      <c r="C594" s="435"/>
      <c r="D594" s="435"/>
      <c r="E594" s="208"/>
      <c r="F594" s="208"/>
    </row>
    <row r="595" spans="1:6" ht="18.75" x14ac:dyDescent="0.3">
      <c r="A595" s="444"/>
      <c r="B595" s="435"/>
      <c r="C595" s="435"/>
      <c r="D595" s="435"/>
      <c r="E595" s="208"/>
      <c r="F595" s="208"/>
    </row>
    <row r="596" spans="1:6" ht="18.75" x14ac:dyDescent="0.3">
      <c r="A596" s="470" t="s">
        <v>915</v>
      </c>
      <c r="B596" s="208"/>
      <c r="C596" s="903" t="s">
        <v>916</v>
      </c>
      <c r="D596" s="903"/>
      <c r="E596" s="437"/>
      <c r="F596" s="208"/>
    </row>
    <row r="597" spans="1:6" ht="18.75" x14ac:dyDescent="0.3">
      <c r="A597" s="435" t="s">
        <v>675</v>
      </c>
      <c r="B597" s="435"/>
      <c r="C597" s="840" t="s">
        <v>683</v>
      </c>
      <c r="D597" s="840"/>
      <c r="E597" s="840"/>
      <c r="F597" s="208"/>
    </row>
    <row r="598" spans="1:6" ht="18.75" x14ac:dyDescent="0.3">
      <c r="A598" s="470" t="s">
        <v>677</v>
      </c>
      <c r="B598" s="470"/>
      <c r="C598" s="578" t="s">
        <v>684</v>
      </c>
      <c r="D598" s="578"/>
      <c r="E598" s="472"/>
      <c r="F598" s="208"/>
    </row>
    <row r="599" spans="1:6" x14ac:dyDescent="0.25">
      <c r="A599" s="208"/>
      <c r="B599" s="208"/>
      <c r="C599" s="208"/>
      <c r="D599" s="208"/>
      <c r="E599" s="208"/>
      <c r="F599" s="208"/>
    </row>
    <row r="600" spans="1:6" x14ac:dyDescent="0.25">
      <c r="A600" s="811" t="s">
        <v>23</v>
      </c>
      <c r="B600" s="801" t="s">
        <v>30</v>
      </c>
      <c r="C600" s="801" t="s">
        <v>75</v>
      </c>
      <c r="D600" s="801" t="s">
        <v>76</v>
      </c>
      <c r="E600" s="208"/>
      <c r="F600" s="208"/>
    </row>
    <row r="601" spans="1:6" x14ac:dyDescent="0.25">
      <c r="A601" s="813"/>
      <c r="B601" s="801"/>
      <c r="C601" s="801"/>
      <c r="D601" s="801"/>
      <c r="E601" s="208"/>
      <c r="F601" s="208"/>
    </row>
    <row r="602" spans="1:6" x14ac:dyDescent="0.25">
      <c r="A602" s="445">
        <v>1</v>
      </c>
      <c r="B602" s="445">
        <v>2</v>
      </c>
      <c r="C602" s="445">
        <v>3</v>
      </c>
      <c r="D602" s="445">
        <v>4</v>
      </c>
      <c r="E602" s="208"/>
      <c r="F602" s="208"/>
    </row>
    <row r="603" spans="1:6" x14ac:dyDescent="0.25">
      <c r="A603" s="447">
        <v>1</v>
      </c>
      <c r="B603" s="447" t="s">
        <v>924</v>
      </c>
      <c r="C603" s="447">
        <v>1</v>
      </c>
      <c r="D603" s="448">
        <v>35290</v>
      </c>
      <c r="E603" s="208"/>
      <c r="F603" s="208"/>
    </row>
    <row r="604" spans="1:6" x14ac:dyDescent="0.25">
      <c r="A604" s="797" t="s">
        <v>344</v>
      </c>
      <c r="B604" s="797"/>
      <c r="C604" s="447"/>
      <c r="D604" s="448">
        <f>SUM(D603:D603)</f>
        <v>35290</v>
      </c>
      <c r="E604" s="208"/>
      <c r="F604" s="208"/>
    </row>
    <row r="607" spans="1:6" ht="18.75" x14ac:dyDescent="0.3">
      <c r="A607" s="444" t="s">
        <v>923</v>
      </c>
      <c r="B607" s="435"/>
      <c r="C607" s="435"/>
      <c r="D607" s="435"/>
      <c r="E607" s="208"/>
    </row>
    <row r="608" spans="1:6" ht="18.75" x14ac:dyDescent="0.3">
      <c r="A608" s="444"/>
      <c r="B608" s="435"/>
      <c r="C608" s="435"/>
      <c r="D608" s="435"/>
      <c r="E608" s="208"/>
    </row>
    <row r="609" spans="1:9" ht="18.75" x14ac:dyDescent="0.3">
      <c r="A609" s="470" t="s">
        <v>915</v>
      </c>
      <c r="B609" s="208"/>
      <c r="C609" s="900" t="s">
        <v>925</v>
      </c>
      <c r="D609" s="900"/>
      <c r="E609" s="437"/>
    </row>
    <row r="610" spans="1:9" ht="18.75" x14ac:dyDescent="0.3">
      <c r="A610" s="435" t="s">
        <v>675</v>
      </c>
      <c r="B610" s="435"/>
      <c r="C610" s="840" t="s">
        <v>683</v>
      </c>
      <c r="D610" s="840"/>
      <c r="E610" s="840"/>
    </row>
    <row r="611" spans="1:9" ht="18.75" x14ac:dyDescent="0.3">
      <c r="A611" s="470" t="s">
        <v>677</v>
      </c>
      <c r="B611" s="470"/>
      <c r="C611" s="578" t="s">
        <v>684</v>
      </c>
      <c r="D611" s="578"/>
      <c r="E611" s="472"/>
    </row>
    <row r="612" spans="1:9" x14ac:dyDescent="0.25">
      <c r="A612" s="208"/>
      <c r="B612" s="208"/>
      <c r="C612" s="208"/>
      <c r="D612" s="208"/>
      <c r="E612" s="208"/>
    </row>
    <row r="613" spans="1:9" x14ac:dyDescent="0.25">
      <c r="A613" s="445">
        <v>1</v>
      </c>
      <c r="B613" s="445">
        <v>2</v>
      </c>
      <c r="C613" s="445">
        <v>3</v>
      </c>
      <c r="D613" s="445">
        <v>4</v>
      </c>
      <c r="E613" s="208"/>
    </row>
    <row r="614" spans="1:9" ht="147" customHeight="1" x14ac:dyDescent="0.25">
      <c r="A614" s="794" t="s">
        <v>926</v>
      </c>
      <c r="B614" s="795"/>
      <c r="C614" s="796"/>
      <c r="D614" s="448">
        <v>30000</v>
      </c>
      <c r="E614" s="208"/>
    </row>
    <row r="615" spans="1:9" x14ac:dyDescent="0.25">
      <c r="A615" s="797" t="s">
        <v>344</v>
      </c>
      <c r="B615" s="797"/>
      <c r="C615" s="447"/>
      <c r="D615" s="448">
        <f>SUM(D614:D614)</f>
        <v>30000</v>
      </c>
      <c r="E615" s="208"/>
    </row>
    <row r="619" spans="1:9" x14ac:dyDescent="0.25">
      <c r="A619" s="853" t="s">
        <v>910</v>
      </c>
      <c r="B619" s="853"/>
      <c r="C619" s="853"/>
      <c r="D619" s="853"/>
      <c r="E619" s="853"/>
      <c r="F619" s="853"/>
      <c r="G619" s="853"/>
      <c r="H619" s="853"/>
      <c r="I619" s="853"/>
    </row>
    <row r="620" spans="1:9" x14ac:dyDescent="0.25">
      <c r="A620" s="854" t="s">
        <v>911</v>
      </c>
      <c r="B620" s="854"/>
      <c r="C620" s="854"/>
      <c r="D620" s="854"/>
      <c r="E620" s="854"/>
      <c r="F620" s="854"/>
      <c r="G620" s="854"/>
      <c r="H620" s="854"/>
      <c r="I620" s="854"/>
    </row>
    <row r="621" spans="1:9" x14ac:dyDescent="0.25">
      <c r="A621" s="904" t="s">
        <v>927</v>
      </c>
      <c r="B621" s="905"/>
      <c r="C621" s="905"/>
      <c r="D621" s="905"/>
      <c r="E621" s="905"/>
      <c r="F621" s="905"/>
      <c r="G621" s="905"/>
      <c r="H621" s="905"/>
      <c r="I621" s="906"/>
    </row>
    <row r="622" spans="1:9" x14ac:dyDescent="0.25">
      <c r="A622" s="543" t="s">
        <v>243</v>
      </c>
      <c r="B622" s="543" t="s">
        <v>832</v>
      </c>
      <c r="C622" s="544" t="s">
        <v>834</v>
      </c>
      <c r="D622" s="545" t="s">
        <v>908</v>
      </c>
      <c r="E622" s="579" t="s">
        <v>114</v>
      </c>
      <c r="F622" s="579"/>
      <c r="G622" s="579"/>
      <c r="H622" s="548"/>
      <c r="I622" s="548"/>
    </row>
    <row r="623" spans="1:9" ht="45" x14ac:dyDescent="0.25">
      <c r="A623" s="549">
        <v>1</v>
      </c>
      <c r="B623" s="516" t="s">
        <v>928</v>
      </c>
      <c r="C623" s="580">
        <v>1</v>
      </c>
      <c r="D623" s="581">
        <v>10000</v>
      </c>
      <c r="E623" s="581">
        <f t="shared" ref="E623:E626" si="9">C623*D623</f>
        <v>10000</v>
      </c>
      <c r="F623" s="582"/>
      <c r="G623" s="583"/>
      <c r="H623" s="524"/>
      <c r="I623" s="524"/>
    </row>
    <row r="624" spans="1:9" ht="45" x14ac:dyDescent="0.25">
      <c r="A624" s="584">
        <v>2</v>
      </c>
      <c r="B624" s="516" t="s">
        <v>929</v>
      </c>
      <c r="C624" s="580">
        <v>1</v>
      </c>
      <c r="D624" s="581">
        <v>10000</v>
      </c>
      <c r="E624" s="581">
        <f t="shared" si="9"/>
        <v>10000</v>
      </c>
      <c r="F624" s="585"/>
      <c r="G624" s="586"/>
      <c r="H624" s="587"/>
      <c r="I624" s="587"/>
    </row>
    <row r="625" spans="1:9" x14ac:dyDescent="0.25">
      <c r="A625" s="580">
        <v>3</v>
      </c>
      <c r="B625" s="588" t="s">
        <v>930</v>
      </c>
      <c r="C625" s="580">
        <v>1</v>
      </c>
      <c r="D625" s="581">
        <v>9000</v>
      </c>
      <c r="E625" s="581">
        <f t="shared" si="9"/>
        <v>9000</v>
      </c>
      <c r="F625" s="589"/>
      <c r="G625" s="590"/>
      <c r="H625" s="591"/>
      <c r="I625" s="587">
        <f t="shared" ref="I625:I626" si="10">H625*G625</f>
        <v>0</v>
      </c>
    </row>
    <row r="626" spans="1:9" ht="30" x14ac:dyDescent="0.25">
      <c r="A626" s="519">
        <v>4</v>
      </c>
      <c r="B626" s="588" t="s">
        <v>931</v>
      </c>
      <c r="C626" s="515">
        <v>2</v>
      </c>
      <c r="D626" s="517">
        <v>3000</v>
      </c>
      <c r="E626" s="581">
        <f t="shared" si="9"/>
        <v>6000</v>
      </c>
      <c r="F626" s="523"/>
      <c r="G626" s="550"/>
      <c r="H626" s="524"/>
      <c r="I626" s="587">
        <f t="shared" si="10"/>
        <v>0</v>
      </c>
    </row>
    <row r="627" spans="1:9" x14ac:dyDescent="0.25">
      <c r="A627" s="592"/>
      <c r="B627" s="593"/>
      <c r="C627" s="594"/>
      <c r="D627" s="595" t="s">
        <v>864</v>
      </c>
      <c r="E627" s="596">
        <f>SUM(E623:E626)</f>
        <v>35000</v>
      </c>
      <c r="F627" s="597"/>
      <c r="G627" s="598"/>
      <c r="H627" s="599"/>
      <c r="I627" s="599">
        <f>SUM(I625:I626)</f>
        <v>0</v>
      </c>
    </row>
    <row r="630" spans="1:9" x14ac:dyDescent="0.25">
      <c r="A630" s="853" t="s">
        <v>910</v>
      </c>
      <c r="B630" s="853"/>
      <c r="C630" s="853"/>
      <c r="D630" s="853"/>
      <c r="E630" s="853"/>
      <c r="F630" s="853"/>
      <c r="G630" s="853"/>
      <c r="H630" s="853"/>
      <c r="I630" s="853"/>
    </row>
    <row r="631" spans="1:9" x14ac:dyDescent="0.25">
      <c r="A631" s="854" t="s">
        <v>911</v>
      </c>
      <c r="B631" s="854"/>
      <c r="C631" s="854"/>
      <c r="D631" s="854"/>
      <c r="E631" s="854"/>
      <c r="F631" s="854"/>
      <c r="G631" s="854"/>
      <c r="H631" s="854"/>
      <c r="I631" s="854"/>
    </row>
    <row r="632" spans="1:9" x14ac:dyDescent="0.25">
      <c r="A632" s="849" t="s">
        <v>932</v>
      </c>
      <c r="B632" s="849"/>
      <c r="C632" s="849"/>
      <c r="D632" s="849"/>
      <c r="E632" s="849"/>
      <c r="F632" s="849"/>
      <c r="G632" s="849"/>
      <c r="H632" s="849"/>
      <c r="I632" s="849"/>
    </row>
    <row r="633" spans="1:9" x14ac:dyDescent="0.25">
      <c r="A633" s="654"/>
      <c r="B633" s="654"/>
      <c r="C633" s="907" t="s">
        <v>989</v>
      </c>
      <c r="D633" s="907"/>
      <c r="E633" s="907"/>
      <c r="F633" s="908"/>
      <c r="G633" s="648"/>
      <c r="H633" s="655"/>
      <c r="I633" s="655"/>
    </row>
    <row r="634" spans="1:9" x14ac:dyDescent="0.25">
      <c r="A634" s="600" t="s">
        <v>243</v>
      </c>
      <c r="B634" s="600" t="s">
        <v>832</v>
      </c>
      <c r="C634" s="601" t="s">
        <v>834</v>
      </c>
      <c r="D634" s="545" t="s">
        <v>908</v>
      </c>
      <c r="E634" s="546" t="s">
        <v>114</v>
      </c>
      <c r="F634" s="579"/>
      <c r="G634" s="547"/>
      <c r="H634" s="602"/>
      <c r="I634" s="602"/>
    </row>
    <row r="635" spans="1:9" ht="45" x14ac:dyDescent="0.25">
      <c r="A635" s="603">
        <v>1</v>
      </c>
      <c r="B635" s="518" t="s">
        <v>933</v>
      </c>
      <c r="C635" s="515">
        <v>1</v>
      </c>
      <c r="D635" s="517">
        <v>10000</v>
      </c>
      <c r="E635" s="604">
        <f>C635*D635</f>
        <v>10000</v>
      </c>
      <c r="F635" s="605"/>
      <c r="G635" s="606"/>
      <c r="H635" s="607"/>
      <c r="I635" s="607"/>
    </row>
    <row r="636" spans="1:9" x14ac:dyDescent="0.25">
      <c r="A636" s="850" t="s">
        <v>934</v>
      </c>
      <c r="B636" s="851"/>
      <c r="C636" s="851"/>
      <c r="D636" s="852"/>
      <c r="E636" s="653">
        <f>SUM(E635)</f>
        <v>10000</v>
      </c>
      <c r="F636" s="608"/>
      <c r="G636" s="609"/>
      <c r="H636" s="610"/>
      <c r="I636" s="610">
        <f>SUM(I635)</f>
        <v>0</v>
      </c>
    </row>
    <row r="639" spans="1:9" ht="18.75" x14ac:dyDescent="0.3">
      <c r="A639" s="435" t="s">
        <v>19</v>
      </c>
      <c r="B639" s="435"/>
      <c r="C639" s="435"/>
      <c r="D639" s="839" t="s">
        <v>935</v>
      </c>
      <c r="E639" s="839"/>
      <c r="F639" s="439"/>
    </row>
    <row r="640" spans="1:9" ht="18.75" x14ac:dyDescent="0.3">
      <c r="A640" s="436" t="s">
        <v>675</v>
      </c>
      <c r="B640" s="435"/>
      <c r="C640" s="435"/>
      <c r="D640" s="868" t="s">
        <v>710</v>
      </c>
      <c r="E640" s="868"/>
      <c r="F640" s="868"/>
    </row>
    <row r="641" spans="1:6" ht="18.75" x14ac:dyDescent="0.3">
      <c r="A641" s="470" t="s">
        <v>677</v>
      </c>
      <c r="B641" s="470"/>
      <c r="C641" s="470"/>
      <c r="D641" s="471" t="s">
        <v>774</v>
      </c>
      <c r="E641" s="472"/>
      <c r="F641" s="472"/>
    </row>
    <row r="642" spans="1:6" ht="18.75" x14ac:dyDescent="0.3">
      <c r="A642" s="208"/>
      <c r="B642" s="818" t="s">
        <v>1056</v>
      </c>
      <c r="C642" s="818"/>
      <c r="D642" s="818"/>
      <c r="E642" s="818"/>
      <c r="F642" s="443"/>
    </row>
    <row r="643" spans="1:6" ht="54.75" customHeight="1" x14ac:dyDescent="0.25">
      <c r="A643" s="418" t="s">
        <v>23</v>
      </c>
      <c r="B643" s="891" t="s">
        <v>30</v>
      </c>
      <c r="C643" s="899"/>
      <c r="D643" s="418" t="s">
        <v>904</v>
      </c>
      <c r="E643" s="418" t="s">
        <v>905</v>
      </c>
      <c r="F643" s="418" t="s">
        <v>31</v>
      </c>
    </row>
    <row r="644" spans="1:6" x14ac:dyDescent="0.25">
      <c r="A644" s="418">
        <v>1</v>
      </c>
      <c r="B644" s="891">
        <v>2</v>
      </c>
      <c r="C644" s="892"/>
      <c r="D644" s="418">
        <v>4</v>
      </c>
      <c r="E644" s="418">
        <v>5</v>
      </c>
      <c r="F644" s="418">
        <v>6</v>
      </c>
    </row>
    <row r="645" spans="1:6" ht="33.75" customHeight="1" x14ac:dyDescent="0.25">
      <c r="A645" s="5">
        <v>1</v>
      </c>
      <c r="B645" s="844" t="s">
        <v>906</v>
      </c>
      <c r="C645" s="845"/>
      <c r="D645" s="5">
        <v>2</v>
      </c>
      <c r="E645" s="442">
        <v>47387</v>
      </c>
      <c r="F645" s="442">
        <v>94774</v>
      </c>
    </row>
    <row r="646" spans="1:6" x14ac:dyDescent="0.25">
      <c r="A646" s="844" t="s">
        <v>344</v>
      </c>
      <c r="B646" s="893"/>
      <c r="C646" s="845"/>
      <c r="D646" s="5"/>
      <c r="E646" s="5"/>
      <c r="F646" s="442">
        <f>F645</f>
        <v>94774</v>
      </c>
    </row>
    <row r="650" spans="1:6" ht="18.75" x14ac:dyDescent="0.3">
      <c r="A650" s="435" t="s">
        <v>19</v>
      </c>
      <c r="B650" s="435"/>
      <c r="C650" s="435"/>
      <c r="D650" s="874" t="s">
        <v>682</v>
      </c>
      <c r="E650" s="874"/>
      <c r="F650" s="874"/>
    </row>
    <row r="651" spans="1:6" ht="18.75" x14ac:dyDescent="0.3">
      <c r="A651" s="436" t="s">
        <v>675</v>
      </c>
      <c r="B651" s="435"/>
      <c r="C651" s="435"/>
      <c r="D651" s="868" t="s">
        <v>710</v>
      </c>
      <c r="E651" s="868"/>
      <c r="F651" s="868"/>
    </row>
    <row r="652" spans="1:6" ht="18.75" x14ac:dyDescent="0.3">
      <c r="A652" s="470" t="s">
        <v>677</v>
      </c>
      <c r="B652" s="470"/>
      <c r="C652" s="470"/>
      <c r="D652" s="471" t="s">
        <v>684</v>
      </c>
      <c r="E652" s="472"/>
      <c r="F652" s="472"/>
    </row>
    <row r="653" spans="1:6" ht="18.75" x14ac:dyDescent="0.3">
      <c r="A653" s="208"/>
      <c r="B653" s="443"/>
      <c r="C653" s="443"/>
      <c r="D653" s="443"/>
      <c r="E653" s="443"/>
      <c r="F653" s="443"/>
    </row>
    <row r="654" spans="1:6" ht="45" x14ac:dyDescent="0.25">
      <c r="A654" s="418" t="s">
        <v>23</v>
      </c>
      <c r="B654" s="891" t="s">
        <v>30</v>
      </c>
      <c r="C654" s="899"/>
      <c r="D654" s="418" t="s">
        <v>904</v>
      </c>
      <c r="E654" s="418" t="s">
        <v>905</v>
      </c>
      <c r="F654" s="418" t="s">
        <v>31</v>
      </c>
    </row>
    <row r="655" spans="1:6" x14ac:dyDescent="0.25">
      <c r="A655" s="418">
        <v>1</v>
      </c>
      <c r="B655" s="891">
        <v>2</v>
      </c>
      <c r="C655" s="892"/>
      <c r="D655" s="418">
        <v>4</v>
      </c>
      <c r="E655" s="418">
        <v>5</v>
      </c>
      <c r="F655" s="418">
        <v>6</v>
      </c>
    </row>
    <row r="656" spans="1:6" ht="51" customHeight="1" x14ac:dyDescent="0.25">
      <c r="A656" s="5">
        <v>1</v>
      </c>
      <c r="B656" s="844" t="s">
        <v>936</v>
      </c>
      <c r="C656" s="845"/>
      <c r="D656" s="5">
        <v>1</v>
      </c>
      <c r="E656" s="442">
        <v>5000</v>
      </c>
      <c r="F656" s="442">
        <f>E656*D656</f>
        <v>5000</v>
      </c>
    </row>
    <row r="657" spans="1:6" x14ac:dyDescent="0.25">
      <c r="A657" s="844" t="s">
        <v>344</v>
      </c>
      <c r="B657" s="893"/>
      <c r="C657" s="845"/>
      <c r="D657" s="5"/>
      <c r="E657" s="5"/>
      <c r="F657" s="442">
        <f>F656</f>
        <v>5000</v>
      </c>
    </row>
    <row r="661" spans="1:6" ht="44.25" customHeight="1" x14ac:dyDescent="0.25">
      <c r="A661" s="841" t="s">
        <v>937</v>
      </c>
      <c r="B661" s="841"/>
      <c r="C661" s="841"/>
      <c r="D661" s="841"/>
      <c r="E661" s="841"/>
      <c r="F661" s="841"/>
    </row>
    <row r="662" spans="1:6" x14ac:dyDescent="0.25">
      <c r="A662" s="841"/>
      <c r="B662" s="841"/>
      <c r="C662" s="841"/>
      <c r="D662" s="841"/>
      <c r="E662" s="841"/>
      <c r="F662" s="841"/>
    </row>
    <row r="663" spans="1:6" x14ac:dyDescent="0.25">
      <c r="A663" s="841"/>
      <c r="B663" s="841"/>
      <c r="C663" s="841"/>
      <c r="D663" s="841"/>
      <c r="E663" s="841"/>
      <c r="F663" s="841"/>
    </row>
    <row r="664" spans="1:6" x14ac:dyDescent="0.25">
      <c r="A664" s="841"/>
      <c r="B664" s="841"/>
      <c r="C664" s="841"/>
      <c r="D664" s="841"/>
      <c r="E664" s="841"/>
      <c r="F664" s="841"/>
    </row>
    <row r="665" spans="1:6" ht="18.75" x14ac:dyDescent="0.3">
      <c r="A665" s="611"/>
      <c r="B665" s="611"/>
      <c r="C665" s="611"/>
      <c r="D665" s="611"/>
      <c r="E665" s="611"/>
      <c r="F665" s="611"/>
    </row>
    <row r="666" spans="1:6" ht="18.75" customHeight="1" x14ac:dyDescent="0.3">
      <c r="A666" s="435" t="s">
        <v>19</v>
      </c>
      <c r="B666" s="435"/>
      <c r="C666" s="837" t="s">
        <v>682</v>
      </c>
      <c r="D666" s="837"/>
      <c r="E666" s="837"/>
      <c r="F666" s="440"/>
    </row>
    <row r="667" spans="1:6" ht="82.5" customHeight="1" x14ac:dyDescent="0.3">
      <c r="A667" s="436" t="s">
        <v>675</v>
      </c>
      <c r="B667" s="435"/>
      <c r="C667" s="837" t="s">
        <v>938</v>
      </c>
      <c r="D667" s="837"/>
      <c r="E667" s="837"/>
      <c r="F667" s="440"/>
    </row>
    <row r="668" spans="1:6" ht="37.5" customHeight="1" x14ac:dyDescent="0.3">
      <c r="A668" s="470" t="s">
        <v>677</v>
      </c>
      <c r="B668" s="470"/>
      <c r="C668" s="837" t="s">
        <v>684</v>
      </c>
      <c r="D668" s="837"/>
      <c r="E668" s="441"/>
      <c r="F668" s="441"/>
    </row>
    <row r="669" spans="1:6" ht="18.75" x14ac:dyDescent="0.3">
      <c r="A669" s="612"/>
      <c r="B669" s="612"/>
      <c r="C669" s="613"/>
      <c r="D669" s="612"/>
      <c r="E669" s="612"/>
      <c r="F669" s="612"/>
    </row>
    <row r="670" spans="1:6" x14ac:dyDescent="0.25">
      <c r="A670" s="208"/>
      <c r="B670" s="208" t="s">
        <v>966</v>
      </c>
      <c r="C670" s="208"/>
      <c r="D670" s="208"/>
      <c r="E670" s="208"/>
      <c r="F670" s="208"/>
    </row>
    <row r="671" spans="1:6" ht="60" x14ac:dyDescent="0.25">
      <c r="A671" s="415" t="s">
        <v>23</v>
      </c>
      <c r="B671" s="415" t="s">
        <v>34</v>
      </c>
      <c r="C671" s="415" t="s">
        <v>35</v>
      </c>
      <c r="D671" s="415" t="s">
        <v>36</v>
      </c>
      <c r="E671" s="208"/>
      <c r="F671" s="208"/>
    </row>
    <row r="672" spans="1:6" x14ac:dyDescent="0.25">
      <c r="A672" s="415">
        <v>1</v>
      </c>
      <c r="B672" s="415">
        <v>2</v>
      </c>
      <c r="C672" s="415">
        <v>3</v>
      </c>
      <c r="D672" s="415">
        <v>4</v>
      </c>
      <c r="E672" s="208"/>
      <c r="F672" s="208"/>
    </row>
    <row r="673" spans="1:6" ht="60" x14ac:dyDescent="0.25">
      <c r="A673" s="415">
        <v>1</v>
      </c>
      <c r="B673" s="5" t="s">
        <v>939</v>
      </c>
      <c r="C673" s="538">
        <v>466782.33</v>
      </c>
      <c r="D673" s="538">
        <f>ROUND(C673*0.22,2)</f>
        <v>102692.11</v>
      </c>
      <c r="E673" s="208"/>
      <c r="F673" s="208"/>
    </row>
    <row r="674" spans="1:6" x14ac:dyDescent="0.25">
      <c r="A674" s="5"/>
      <c r="B674" s="5" t="s">
        <v>4</v>
      </c>
      <c r="C674" s="538"/>
      <c r="D674" s="538"/>
      <c r="E674" s="208"/>
      <c r="F674" s="208"/>
    </row>
    <row r="675" spans="1:6" x14ac:dyDescent="0.25">
      <c r="A675" s="415" t="s">
        <v>38</v>
      </c>
      <c r="B675" s="5" t="s">
        <v>39</v>
      </c>
      <c r="C675" s="538">
        <f>C673</f>
        <v>466782.33</v>
      </c>
      <c r="D675" s="538">
        <f>D673</f>
        <v>102692.11</v>
      </c>
      <c r="E675" s="208"/>
      <c r="F675" s="208"/>
    </row>
    <row r="676" spans="1:6" x14ac:dyDescent="0.25">
      <c r="A676" s="415" t="s">
        <v>40</v>
      </c>
      <c r="B676" s="5" t="s">
        <v>41</v>
      </c>
      <c r="C676" s="538"/>
      <c r="D676" s="538"/>
      <c r="E676" s="208"/>
      <c r="F676" s="208"/>
    </row>
    <row r="677" spans="1:6" ht="90" x14ac:dyDescent="0.25">
      <c r="A677" s="415" t="s">
        <v>42</v>
      </c>
      <c r="B677" s="5" t="s">
        <v>43</v>
      </c>
      <c r="C677" s="538"/>
      <c r="D677" s="538"/>
      <c r="E677" s="208"/>
      <c r="F677" s="208"/>
    </row>
    <row r="678" spans="1:6" ht="60" x14ac:dyDescent="0.25">
      <c r="A678" s="415">
        <v>2</v>
      </c>
      <c r="B678" s="5" t="s">
        <v>44</v>
      </c>
      <c r="C678" s="614"/>
      <c r="D678" s="614">
        <f>D680+D682</f>
        <v>14470.25</v>
      </c>
      <c r="E678" s="208"/>
      <c r="F678" s="208"/>
    </row>
    <row r="679" spans="1:6" x14ac:dyDescent="0.25">
      <c r="A679" s="5"/>
      <c r="B679" s="5" t="s">
        <v>4</v>
      </c>
      <c r="C679" s="538"/>
      <c r="D679" s="538"/>
      <c r="E679" s="208"/>
      <c r="F679" s="208"/>
    </row>
    <row r="680" spans="1:6" ht="90" x14ac:dyDescent="0.25">
      <c r="A680" s="415" t="s">
        <v>45</v>
      </c>
      <c r="B680" s="5" t="s">
        <v>46</v>
      </c>
      <c r="C680" s="538">
        <f>C673</f>
        <v>466782.33</v>
      </c>
      <c r="D680" s="538">
        <f>ROUND(C680*0.029,2)</f>
        <v>13536.69</v>
      </c>
      <c r="E680" s="208"/>
      <c r="F680" s="208"/>
    </row>
    <row r="681" spans="1:6" ht="75" x14ac:dyDescent="0.25">
      <c r="A681" s="415" t="s">
        <v>47</v>
      </c>
      <c r="B681" s="5" t="s">
        <v>48</v>
      </c>
      <c r="C681" s="538"/>
      <c r="D681" s="538"/>
      <c r="E681" s="208"/>
      <c r="F681" s="208"/>
    </row>
    <row r="682" spans="1:6" ht="105" x14ac:dyDescent="0.25">
      <c r="A682" s="415" t="s">
        <v>49</v>
      </c>
      <c r="B682" s="5" t="s">
        <v>50</v>
      </c>
      <c r="C682" s="538">
        <f>C673</f>
        <v>466782.33</v>
      </c>
      <c r="D682" s="538">
        <f>ROUND(C682*0.002,2)</f>
        <v>933.56</v>
      </c>
      <c r="E682" s="208"/>
      <c r="F682" s="208"/>
    </row>
    <row r="683" spans="1:6" ht="105" x14ac:dyDescent="0.25">
      <c r="A683" s="415" t="s">
        <v>51</v>
      </c>
      <c r="B683" s="5" t="s">
        <v>52</v>
      </c>
      <c r="C683" s="538"/>
      <c r="D683" s="538"/>
      <c r="E683" s="208"/>
      <c r="F683" s="208"/>
    </row>
    <row r="684" spans="1:6" ht="105" x14ac:dyDescent="0.25">
      <c r="A684" s="415" t="s">
        <v>53</v>
      </c>
      <c r="B684" s="5" t="s">
        <v>52</v>
      </c>
      <c r="C684" s="538"/>
      <c r="D684" s="538"/>
      <c r="E684" s="208"/>
      <c r="F684" s="208"/>
    </row>
    <row r="685" spans="1:6" ht="90" x14ac:dyDescent="0.25">
      <c r="A685" s="415">
        <v>3</v>
      </c>
      <c r="B685" s="5" t="s">
        <v>54</v>
      </c>
      <c r="C685" s="538">
        <f>C673</f>
        <v>466782.33</v>
      </c>
      <c r="D685" s="538">
        <f>ROUND(C685*0.051,2)-0.01</f>
        <v>23805.890000000003</v>
      </c>
      <c r="E685" s="208"/>
      <c r="F685" s="208"/>
    </row>
    <row r="686" spans="1:6" x14ac:dyDescent="0.25">
      <c r="A686" s="838" t="s">
        <v>344</v>
      </c>
      <c r="B686" s="838"/>
      <c r="C686" s="538">
        <f>C673</f>
        <v>466782.33</v>
      </c>
      <c r="D686" s="538">
        <f>ROUND(D673+D680+D685+D682,2)+0.02</f>
        <v>140968.26999999999</v>
      </c>
      <c r="E686" s="208"/>
      <c r="F686" s="208"/>
    </row>
    <row r="695" spans="1:5" ht="18.75" customHeight="1" x14ac:dyDescent="0.3">
      <c r="A695" s="435" t="s">
        <v>19</v>
      </c>
      <c r="B695" s="435"/>
      <c r="C695" s="837" t="s">
        <v>709</v>
      </c>
      <c r="D695" s="837"/>
      <c r="E695" s="837"/>
    </row>
    <row r="696" spans="1:5" ht="81.75" customHeight="1" x14ac:dyDescent="0.3">
      <c r="A696" s="436" t="s">
        <v>675</v>
      </c>
      <c r="B696" s="435"/>
      <c r="C696" s="837" t="s">
        <v>938</v>
      </c>
      <c r="D696" s="837"/>
      <c r="E696" s="837"/>
    </row>
    <row r="697" spans="1:5" ht="37.5" customHeight="1" x14ac:dyDescent="0.3">
      <c r="A697" s="470" t="s">
        <v>677</v>
      </c>
      <c r="B697" s="470"/>
      <c r="C697" s="837" t="s">
        <v>684</v>
      </c>
      <c r="D697" s="837"/>
      <c r="E697" s="441"/>
    </row>
    <row r="698" spans="1:5" ht="18.75" x14ac:dyDescent="0.3">
      <c r="A698" s="612"/>
      <c r="B698" s="612"/>
      <c r="C698" s="613"/>
      <c r="D698" s="612"/>
      <c r="E698" s="612"/>
    </row>
    <row r="699" spans="1:5" x14ac:dyDescent="0.25">
      <c r="A699" s="208"/>
      <c r="B699" s="208"/>
      <c r="C699" s="208"/>
      <c r="D699" s="208"/>
      <c r="E699" s="208"/>
    </row>
    <row r="700" spans="1:5" ht="60" x14ac:dyDescent="0.25">
      <c r="A700" s="415" t="s">
        <v>23</v>
      </c>
      <c r="B700" s="415" t="s">
        <v>34</v>
      </c>
      <c r="C700" s="415" t="s">
        <v>35</v>
      </c>
      <c r="D700" s="415" t="s">
        <v>36</v>
      </c>
      <c r="E700" s="208"/>
    </row>
    <row r="701" spans="1:5" x14ac:dyDescent="0.25">
      <c r="A701" s="415">
        <v>1</v>
      </c>
      <c r="B701" s="415">
        <v>2</v>
      </c>
      <c r="C701" s="415">
        <v>3</v>
      </c>
      <c r="D701" s="415">
        <v>4</v>
      </c>
      <c r="E701" s="208"/>
    </row>
    <row r="702" spans="1:5" ht="60" x14ac:dyDescent="0.25">
      <c r="A702" s="415">
        <v>1</v>
      </c>
      <c r="B702" s="5" t="s">
        <v>939</v>
      </c>
      <c r="C702" s="538">
        <v>1931958.52</v>
      </c>
      <c r="D702" s="538">
        <f>ROUND(C702*0.22,2)</f>
        <v>425030.87</v>
      </c>
      <c r="E702" s="208"/>
    </row>
    <row r="703" spans="1:5" x14ac:dyDescent="0.25">
      <c r="A703" s="5"/>
      <c r="B703" s="5" t="s">
        <v>4</v>
      </c>
      <c r="C703" s="538"/>
      <c r="D703" s="538"/>
      <c r="E703" s="208"/>
    </row>
    <row r="704" spans="1:5" x14ac:dyDescent="0.25">
      <c r="A704" s="415" t="s">
        <v>38</v>
      </c>
      <c r="B704" s="5" t="s">
        <v>39</v>
      </c>
      <c r="C704" s="538">
        <f>C702</f>
        <v>1931958.52</v>
      </c>
      <c r="D704" s="538">
        <f>D702</f>
        <v>425030.87</v>
      </c>
      <c r="E704" s="208"/>
    </row>
    <row r="705" spans="1:5" x14ac:dyDescent="0.25">
      <c r="A705" s="415" t="s">
        <v>40</v>
      </c>
      <c r="B705" s="5" t="s">
        <v>41</v>
      </c>
      <c r="C705" s="538"/>
      <c r="D705" s="538"/>
      <c r="E705" s="208"/>
    </row>
    <row r="706" spans="1:5" ht="90" x14ac:dyDescent="0.25">
      <c r="A706" s="415" t="s">
        <v>42</v>
      </c>
      <c r="B706" s="5" t="s">
        <v>43</v>
      </c>
      <c r="C706" s="538"/>
      <c r="D706" s="538"/>
      <c r="E706" s="208"/>
    </row>
    <row r="707" spans="1:5" ht="60" x14ac:dyDescent="0.25">
      <c r="A707" s="415">
        <v>2</v>
      </c>
      <c r="B707" s="5" t="s">
        <v>44</v>
      </c>
      <c r="C707" s="614"/>
      <c r="D707" s="614">
        <f>D709+D711</f>
        <v>59890.720000000001</v>
      </c>
      <c r="E707" s="208"/>
    </row>
    <row r="708" spans="1:5" x14ac:dyDescent="0.25">
      <c r="A708" s="5"/>
      <c r="B708" s="5" t="s">
        <v>4</v>
      </c>
      <c r="C708" s="538"/>
      <c r="D708" s="538"/>
      <c r="E708" s="208"/>
    </row>
    <row r="709" spans="1:5" ht="90" x14ac:dyDescent="0.25">
      <c r="A709" s="415" t="s">
        <v>45</v>
      </c>
      <c r="B709" s="5" t="s">
        <v>46</v>
      </c>
      <c r="C709" s="538">
        <f>C702</f>
        <v>1931958.52</v>
      </c>
      <c r="D709" s="538">
        <f>ROUND(C709*0.029,2)</f>
        <v>56026.8</v>
      </c>
      <c r="E709" s="208"/>
    </row>
    <row r="710" spans="1:5" ht="75" x14ac:dyDescent="0.25">
      <c r="A710" s="415" t="s">
        <v>47</v>
      </c>
      <c r="B710" s="5" t="s">
        <v>48</v>
      </c>
      <c r="C710" s="538"/>
      <c r="D710" s="538"/>
      <c r="E710" s="208"/>
    </row>
    <row r="711" spans="1:5" ht="105" x14ac:dyDescent="0.25">
      <c r="A711" s="415" t="s">
        <v>49</v>
      </c>
      <c r="B711" s="5" t="s">
        <v>50</v>
      </c>
      <c r="C711" s="538">
        <f>C702</f>
        <v>1931958.52</v>
      </c>
      <c r="D711" s="538">
        <f>ROUND(C711*0.002,2)</f>
        <v>3863.92</v>
      </c>
      <c r="E711" s="208"/>
    </row>
    <row r="712" spans="1:5" ht="105" x14ac:dyDescent="0.25">
      <c r="A712" s="415" t="s">
        <v>51</v>
      </c>
      <c r="B712" s="5" t="s">
        <v>52</v>
      </c>
      <c r="C712" s="538"/>
      <c r="D712" s="538"/>
      <c r="E712" s="208"/>
    </row>
    <row r="713" spans="1:5" ht="105" x14ac:dyDescent="0.25">
      <c r="A713" s="415" t="s">
        <v>53</v>
      </c>
      <c r="B713" s="5" t="s">
        <v>52</v>
      </c>
      <c r="C713" s="538"/>
      <c r="D713" s="538"/>
      <c r="E713" s="208"/>
    </row>
    <row r="714" spans="1:5" ht="90" x14ac:dyDescent="0.25">
      <c r="A714" s="415">
        <v>3</v>
      </c>
      <c r="B714" s="5" t="s">
        <v>54</v>
      </c>
      <c r="C714" s="538">
        <f>C702</f>
        <v>1931958.52</v>
      </c>
      <c r="D714" s="538">
        <f>ROUND(C714*0.051,2)</f>
        <v>98529.88</v>
      </c>
      <c r="E714" s="208"/>
    </row>
    <row r="715" spans="1:5" x14ac:dyDescent="0.25">
      <c r="A715" s="838" t="s">
        <v>344</v>
      </c>
      <c r="B715" s="838"/>
      <c r="C715" s="538">
        <f>C702</f>
        <v>1931958.52</v>
      </c>
      <c r="D715" s="538">
        <f>ROUND(D702+D709+D714+D711,0)+0.48</f>
        <v>583451.48</v>
      </c>
      <c r="E715" s="615"/>
    </row>
    <row r="722" spans="1:5" ht="18.75" customHeight="1" x14ac:dyDescent="0.3">
      <c r="A722" s="435" t="s">
        <v>19</v>
      </c>
      <c r="B722" s="435"/>
      <c r="C722" s="840" t="s">
        <v>730</v>
      </c>
      <c r="D722" s="840"/>
    </row>
    <row r="723" spans="1:5" ht="90.75" customHeight="1" x14ac:dyDescent="0.3">
      <c r="A723" s="436" t="s">
        <v>675</v>
      </c>
      <c r="B723" s="435"/>
      <c r="C723" s="837" t="s">
        <v>938</v>
      </c>
      <c r="D723" s="837"/>
      <c r="E723" s="837"/>
    </row>
    <row r="724" spans="1:5" ht="37.5" customHeight="1" x14ac:dyDescent="0.3">
      <c r="A724" s="470" t="s">
        <v>677</v>
      </c>
      <c r="B724" s="470"/>
      <c r="C724" s="837" t="s">
        <v>684</v>
      </c>
      <c r="D724" s="837"/>
    </row>
    <row r="725" spans="1:5" ht="18.75" x14ac:dyDescent="0.3">
      <c r="A725" s="612"/>
      <c r="B725" s="612"/>
      <c r="C725" s="613"/>
      <c r="D725" s="612"/>
    </row>
    <row r="726" spans="1:5" x14ac:dyDescent="0.25">
      <c r="A726" s="208"/>
      <c r="B726" s="208"/>
      <c r="C726" s="208"/>
      <c r="D726" s="208"/>
    </row>
    <row r="727" spans="1:5" ht="60" x14ac:dyDescent="0.25">
      <c r="A727" s="415" t="s">
        <v>23</v>
      </c>
      <c r="B727" s="415" t="s">
        <v>34</v>
      </c>
      <c r="C727" s="415" t="s">
        <v>35</v>
      </c>
      <c r="D727" s="415" t="s">
        <v>36</v>
      </c>
    </row>
    <row r="728" spans="1:5" x14ac:dyDescent="0.25">
      <c r="A728" s="415">
        <v>1</v>
      </c>
      <c r="B728" s="415">
        <v>2</v>
      </c>
      <c r="C728" s="415">
        <v>3</v>
      </c>
      <c r="D728" s="415">
        <v>4</v>
      </c>
    </row>
    <row r="729" spans="1:5" ht="60" x14ac:dyDescent="0.25">
      <c r="A729" s="415">
        <v>1</v>
      </c>
      <c r="B729" s="5" t="s">
        <v>939</v>
      </c>
      <c r="C729" s="538">
        <v>9256140.9299999997</v>
      </c>
      <c r="D729" s="538">
        <f>D731+D732</f>
        <v>2036351.0045999999</v>
      </c>
    </row>
    <row r="730" spans="1:5" x14ac:dyDescent="0.25">
      <c r="A730" s="5"/>
      <c r="B730" s="5" t="s">
        <v>4</v>
      </c>
      <c r="C730" s="538"/>
      <c r="D730" s="538"/>
    </row>
    <row r="731" spans="1:5" x14ac:dyDescent="0.25">
      <c r="A731" s="415" t="s">
        <v>38</v>
      </c>
      <c r="B731" s="5" t="s">
        <v>39</v>
      </c>
      <c r="C731" s="538">
        <f>C729-C732</f>
        <v>9256140.9299999997</v>
      </c>
      <c r="D731" s="538">
        <f>C731*0.22</f>
        <v>2036351.0045999999</v>
      </c>
    </row>
    <row r="732" spans="1:5" x14ac:dyDescent="0.25">
      <c r="A732" s="415" t="s">
        <v>40</v>
      </c>
      <c r="B732" s="5" t="s">
        <v>41</v>
      </c>
      <c r="C732" s="538"/>
      <c r="D732" s="538">
        <f>C732*0.1</f>
        <v>0</v>
      </c>
    </row>
    <row r="733" spans="1:5" ht="90" x14ac:dyDescent="0.25">
      <c r="A733" s="415" t="s">
        <v>42</v>
      </c>
      <c r="B733" s="5" t="s">
        <v>43</v>
      </c>
      <c r="C733" s="538"/>
      <c r="D733" s="538"/>
    </row>
    <row r="734" spans="1:5" ht="60" x14ac:dyDescent="0.25">
      <c r="A734" s="415">
        <v>2</v>
      </c>
      <c r="B734" s="5" t="s">
        <v>44</v>
      </c>
      <c r="C734" s="614"/>
      <c r="D734" s="614">
        <f>D736+D738</f>
        <v>286940.37</v>
      </c>
    </row>
    <row r="735" spans="1:5" x14ac:dyDescent="0.25">
      <c r="A735" s="5"/>
      <c r="B735" s="5" t="s">
        <v>4</v>
      </c>
      <c r="C735" s="538"/>
      <c r="D735" s="538"/>
    </row>
    <row r="736" spans="1:5" ht="90" x14ac:dyDescent="0.25">
      <c r="A736" s="415" t="s">
        <v>45</v>
      </c>
      <c r="B736" s="5" t="s">
        <v>46</v>
      </c>
      <c r="C736" s="538">
        <f>C729-C737</f>
        <v>9256140.9299999997</v>
      </c>
      <c r="D736" s="538">
        <f>ROUND(C736*0.029,2)</f>
        <v>268428.09000000003</v>
      </c>
    </row>
    <row r="737" spans="1:6" ht="75" x14ac:dyDescent="0.25">
      <c r="A737" s="415" t="s">
        <v>47</v>
      </c>
      <c r="B737" s="5" t="s">
        <v>48</v>
      </c>
      <c r="C737" s="538"/>
      <c r="D737" s="538">
        <v>0</v>
      </c>
    </row>
    <row r="738" spans="1:6" ht="105" x14ac:dyDescent="0.25">
      <c r="A738" s="415" t="s">
        <v>49</v>
      </c>
      <c r="B738" s="5" t="s">
        <v>50</v>
      </c>
      <c r="C738" s="538">
        <f>C729</f>
        <v>9256140.9299999997</v>
      </c>
      <c r="D738" s="538">
        <f>ROUND(C738*0.002,2)</f>
        <v>18512.28</v>
      </c>
    </row>
    <row r="739" spans="1:6" ht="105" x14ac:dyDescent="0.25">
      <c r="A739" s="415" t="s">
        <v>51</v>
      </c>
      <c r="B739" s="5" t="s">
        <v>52</v>
      </c>
      <c r="C739" s="538"/>
      <c r="D739" s="538"/>
    </row>
    <row r="740" spans="1:6" ht="105" x14ac:dyDescent="0.25">
      <c r="A740" s="415" t="s">
        <v>53</v>
      </c>
      <c r="B740" s="5" t="s">
        <v>52</v>
      </c>
      <c r="C740" s="538"/>
      <c r="D740" s="538"/>
    </row>
    <row r="741" spans="1:6" ht="90" x14ac:dyDescent="0.25">
      <c r="A741" s="415">
        <v>3</v>
      </c>
      <c r="B741" s="5" t="s">
        <v>54</v>
      </c>
      <c r="C741" s="538">
        <f>C729</f>
        <v>9256140.9299999997</v>
      </c>
      <c r="D741" s="538">
        <f>ROUND(C741*0.051,2)</f>
        <v>472063.19</v>
      </c>
    </row>
    <row r="742" spans="1:6" x14ac:dyDescent="0.25">
      <c r="A742" s="838" t="s">
        <v>344</v>
      </c>
      <c r="B742" s="838"/>
      <c r="C742" s="538">
        <f>C729</f>
        <v>9256140.9299999997</v>
      </c>
      <c r="D742" s="538">
        <f>ROUND(D729+D736+D741+D738,0)-0.42</f>
        <v>2795354.58</v>
      </c>
    </row>
    <row r="749" spans="1:6" ht="18.75" x14ac:dyDescent="0.3">
      <c r="A749" s="435" t="s">
        <v>19</v>
      </c>
      <c r="B749" s="435"/>
      <c r="C749" s="435"/>
      <c r="D749" s="839" t="s">
        <v>730</v>
      </c>
      <c r="E749" s="839"/>
      <c r="F749" s="439"/>
    </row>
    <row r="750" spans="1:6" ht="18.75" x14ac:dyDescent="0.3">
      <c r="A750" s="436" t="s">
        <v>675</v>
      </c>
      <c r="B750" s="435"/>
      <c r="C750" s="435"/>
      <c r="D750" s="868" t="s">
        <v>710</v>
      </c>
      <c r="E750" s="868"/>
      <c r="F750" s="868"/>
    </row>
    <row r="751" spans="1:6" ht="18.75" x14ac:dyDescent="0.3">
      <c r="A751" s="470" t="s">
        <v>677</v>
      </c>
      <c r="B751" s="470"/>
      <c r="C751" s="470"/>
      <c r="D751" s="471" t="s">
        <v>684</v>
      </c>
      <c r="E751" s="472"/>
      <c r="F751" s="472"/>
    </row>
    <row r="752" spans="1:6" ht="18.75" x14ac:dyDescent="0.3">
      <c r="A752" s="473"/>
      <c r="B752" s="474"/>
      <c r="C752" s="474"/>
      <c r="D752" s="474"/>
      <c r="E752" s="474"/>
      <c r="F752" s="474"/>
    </row>
    <row r="753" spans="1:6" ht="18.75" x14ac:dyDescent="0.3">
      <c r="A753" s="473"/>
      <c r="B753" s="474"/>
      <c r="C753" s="474"/>
      <c r="D753" s="474"/>
      <c r="E753" s="474"/>
      <c r="F753" s="474"/>
    </row>
    <row r="754" spans="1:6" ht="90" x14ac:dyDescent="0.25">
      <c r="A754" s="418" t="s">
        <v>23</v>
      </c>
      <c r="B754" s="418" t="s">
        <v>30</v>
      </c>
      <c r="C754" s="418" t="s">
        <v>55</v>
      </c>
      <c r="D754" s="418" t="s">
        <v>56</v>
      </c>
      <c r="E754" s="418" t="s">
        <v>711</v>
      </c>
      <c r="F754" s="418" t="s">
        <v>31</v>
      </c>
    </row>
    <row r="755" spans="1:6" x14ac:dyDescent="0.25">
      <c r="A755" s="415">
        <v>1</v>
      </c>
      <c r="B755" s="415">
        <v>2</v>
      </c>
      <c r="C755" s="415">
        <v>3</v>
      </c>
      <c r="D755" s="415">
        <v>4</v>
      </c>
      <c r="E755" s="415">
        <v>5</v>
      </c>
      <c r="F755" s="415">
        <v>6</v>
      </c>
    </row>
    <row r="756" spans="1:6" x14ac:dyDescent="0.25">
      <c r="A756" s="5">
        <v>1</v>
      </c>
      <c r="B756" s="5" t="s">
        <v>712</v>
      </c>
      <c r="C756" s="442">
        <v>450</v>
      </c>
      <c r="D756" s="5">
        <v>3</v>
      </c>
      <c r="E756" s="5">
        <v>5</v>
      </c>
      <c r="F756" s="457">
        <f>E756*D756*C756</f>
        <v>6750</v>
      </c>
    </row>
    <row r="757" spans="1:6" x14ac:dyDescent="0.25">
      <c r="A757" s="5">
        <v>2</v>
      </c>
      <c r="B757" s="5" t="s">
        <v>713</v>
      </c>
      <c r="C757" s="442">
        <v>5050</v>
      </c>
      <c r="D757" s="5">
        <v>3</v>
      </c>
      <c r="E757" s="5"/>
      <c r="F757" s="457">
        <f>D757*C757</f>
        <v>15150</v>
      </c>
    </row>
    <row r="758" spans="1:6" ht="60" x14ac:dyDescent="0.25">
      <c r="A758" s="5">
        <v>3</v>
      </c>
      <c r="B758" s="5" t="s">
        <v>731</v>
      </c>
      <c r="C758" s="442">
        <v>135</v>
      </c>
      <c r="D758" s="5">
        <v>3</v>
      </c>
      <c r="E758" s="5">
        <v>5</v>
      </c>
      <c r="F758" s="457">
        <f>E758*D758*C758-40</f>
        <v>1985</v>
      </c>
    </row>
    <row r="759" spans="1:6" x14ac:dyDescent="0.25">
      <c r="A759" s="870" t="s">
        <v>344</v>
      </c>
      <c r="B759" s="871"/>
      <c r="C759" s="5"/>
      <c r="D759" s="5"/>
      <c r="E759" s="5"/>
      <c r="F759" s="457">
        <f>SUM(F756:F758)+115</f>
        <v>24000</v>
      </c>
    </row>
    <row r="762" spans="1:6" x14ac:dyDescent="0.25">
      <c r="A762" s="468"/>
      <c r="B762" s="867" t="s">
        <v>708</v>
      </c>
      <c r="C762" s="867"/>
      <c r="D762" s="867"/>
      <c r="E762" s="867"/>
      <c r="F762" s="867"/>
    </row>
    <row r="763" spans="1:6" ht="33.75" customHeight="1" x14ac:dyDescent="0.25">
      <c r="A763" s="468"/>
      <c r="B763" s="867"/>
      <c r="C763" s="867"/>
      <c r="D763" s="867"/>
      <c r="E763" s="867"/>
      <c r="F763" s="867"/>
    </row>
    <row r="764" spans="1:6" ht="18.75" x14ac:dyDescent="0.3">
      <c r="A764" s="468"/>
      <c r="B764" s="469"/>
      <c r="C764" s="469"/>
      <c r="D764" s="469"/>
      <c r="E764" s="469"/>
      <c r="F764" s="469"/>
    </row>
    <row r="765" spans="1:6" ht="18.75" x14ac:dyDescent="0.3">
      <c r="A765" s="435" t="s">
        <v>19</v>
      </c>
      <c r="B765" s="435"/>
      <c r="C765" s="435"/>
      <c r="D765" s="839" t="s">
        <v>709</v>
      </c>
      <c r="E765" s="839"/>
      <c r="F765" s="439"/>
    </row>
    <row r="766" spans="1:6" ht="18.75" x14ac:dyDescent="0.3">
      <c r="A766" s="436" t="s">
        <v>675</v>
      </c>
      <c r="B766" s="435"/>
      <c r="C766" s="435"/>
      <c r="D766" s="868" t="s">
        <v>710</v>
      </c>
      <c r="E766" s="868"/>
      <c r="F766" s="868"/>
    </row>
    <row r="767" spans="1:6" ht="18.75" x14ac:dyDescent="0.3">
      <c r="A767" s="470" t="s">
        <v>677</v>
      </c>
      <c r="B767" s="470"/>
      <c r="C767" s="470"/>
      <c r="D767" s="471" t="s">
        <v>684</v>
      </c>
      <c r="E767" s="472"/>
      <c r="F767" s="472"/>
    </row>
    <row r="768" spans="1:6" ht="18.75" x14ac:dyDescent="0.3">
      <c r="A768" s="468"/>
      <c r="B768" s="469"/>
      <c r="C768" s="469"/>
      <c r="D768" s="469"/>
      <c r="E768" s="469"/>
      <c r="F768" s="469"/>
    </row>
    <row r="769" spans="1:10" ht="18.75" x14ac:dyDescent="0.3">
      <c r="A769" s="473"/>
      <c r="B769" s="474"/>
      <c r="C769" s="474"/>
      <c r="D769" s="474"/>
      <c r="E769" s="474"/>
      <c r="F769" s="474"/>
    </row>
    <row r="770" spans="1:10" ht="90" x14ac:dyDescent="0.25">
      <c r="A770" s="418" t="s">
        <v>23</v>
      </c>
      <c r="B770" s="418" t="s">
        <v>30</v>
      </c>
      <c r="C770" s="418" t="s">
        <v>55</v>
      </c>
      <c r="D770" s="418" t="s">
        <v>56</v>
      </c>
      <c r="E770" s="418" t="s">
        <v>711</v>
      </c>
      <c r="F770" s="418" t="s">
        <v>31</v>
      </c>
    </row>
    <row r="771" spans="1:10" x14ac:dyDescent="0.25">
      <c r="A771" s="415">
        <v>1</v>
      </c>
      <c r="B771" s="415">
        <v>2</v>
      </c>
      <c r="C771" s="415">
        <v>3</v>
      </c>
      <c r="D771" s="415">
        <v>4</v>
      </c>
      <c r="E771" s="415">
        <v>5</v>
      </c>
      <c r="F771" s="415">
        <v>6</v>
      </c>
    </row>
    <row r="772" spans="1:10" x14ac:dyDescent="0.25">
      <c r="A772" s="5">
        <v>1</v>
      </c>
      <c r="B772" s="5" t="s">
        <v>712</v>
      </c>
      <c r="C772" s="442">
        <v>450</v>
      </c>
      <c r="D772" s="5">
        <v>5</v>
      </c>
      <c r="E772" s="5">
        <v>5</v>
      </c>
      <c r="F772" s="457">
        <f>E772*D772*C772</f>
        <v>11250</v>
      </c>
    </row>
    <row r="773" spans="1:10" x14ac:dyDescent="0.25">
      <c r="A773" s="5">
        <v>2</v>
      </c>
      <c r="B773" s="5" t="s">
        <v>713</v>
      </c>
      <c r="C773" s="442">
        <v>5200</v>
      </c>
      <c r="D773" s="5">
        <v>4</v>
      </c>
      <c r="E773" s="5"/>
      <c r="F773" s="457">
        <f>D773*C773</f>
        <v>20800</v>
      </c>
    </row>
    <row r="774" spans="1:10" x14ac:dyDescent="0.25">
      <c r="A774" s="5">
        <v>4</v>
      </c>
      <c r="B774" s="5" t="s">
        <v>714</v>
      </c>
      <c r="C774" s="442">
        <v>1830</v>
      </c>
      <c r="D774" s="5">
        <v>4</v>
      </c>
      <c r="E774" s="5">
        <v>2</v>
      </c>
      <c r="F774" s="457">
        <f>E774*D774*C774</f>
        <v>14640</v>
      </c>
    </row>
    <row r="775" spans="1:10" x14ac:dyDescent="0.25">
      <c r="A775" s="838" t="s">
        <v>344</v>
      </c>
      <c r="B775" s="838"/>
      <c r="C775" s="5"/>
      <c r="D775" s="5"/>
      <c r="E775" s="5"/>
      <c r="F775" s="457">
        <f>SUM(F772:F774)+310</f>
        <v>47000</v>
      </c>
    </row>
    <row r="778" spans="1:10" ht="18.75" x14ac:dyDescent="0.3">
      <c r="A778" s="470" t="s">
        <v>915</v>
      </c>
      <c r="B778" s="208"/>
      <c r="C778" s="208"/>
      <c r="D778" s="574" t="s">
        <v>709</v>
      </c>
      <c r="E778" s="437"/>
      <c r="F778" s="437"/>
      <c r="G778" s="437"/>
      <c r="H778" s="437"/>
      <c r="I778" s="441"/>
      <c r="J778" s="11"/>
    </row>
    <row r="779" spans="1:10" ht="18.75" x14ac:dyDescent="0.3">
      <c r="A779" s="435" t="s">
        <v>675</v>
      </c>
      <c r="B779" s="435"/>
      <c r="C779" s="435"/>
      <c r="D779" s="503" t="s">
        <v>940</v>
      </c>
      <c r="E779" s="439"/>
      <c r="F779" s="439"/>
      <c r="G779" s="439"/>
      <c r="H779" s="439"/>
      <c r="I779" s="440"/>
      <c r="J779" s="616"/>
    </row>
    <row r="780" spans="1:10" ht="18.75" x14ac:dyDescent="0.3">
      <c r="A780" s="470" t="s">
        <v>677</v>
      </c>
      <c r="B780" s="470"/>
      <c r="C780" s="470"/>
      <c r="D780" s="578" t="s">
        <v>684</v>
      </c>
      <c r="E780" s="472"/>
      <c r="F780" s="472"/>
      <c r="G780" s="472"/>
      <c r="H780" s="472"/>
      <c r="I780" s="441"/>
      <c r="J780" s="440"/>
    </row>
    <row r="781" spans="1:10" ht="18.75" x14ac:dyDescent="0.3">
      <c r="A781" s="470"/>
      <c r="B781" s="470"/>
      <c r="C781" s="470"/>
      <c r="D781" s="578"/>
      <c r="E781" s="472"/>
      <c r="F781" s="472"/>
      <c r="G781" s="472"/>
      <c r="H781" s="472"/>
      <c r="I781" s="441"/>
      <c r="J781" s="616"/>
    </row>
    <row r="782" spans="1:10" x14ac:dyDescent="0.25">
      <c r="A782" s="793" t="s">
        <v>23</v>
      </c>
      <c r="B782" s="793" t="s">
        <v>941</v>
      </c>
      <c r="C782" s="793" t="s">
        <v>24</v>
      </c>
      <c r="D782" s="793" t="s">
        <v>942</v>
      </c>
      <c r="E782" s="793"/>
      <c r="F782" s="793"/>
      <c r="G782" s="793"/>
      <c r="H782" s="793"/>
      <c r="I782" s="793"/>
      <c r="J782" s="792" t="s">
        <v>943</v>
      </c>
    </row>
    <row r="783" spans="1:10" x14ac:dyDescent="0.25">
      <c r="A783" s="793"/>
      <c r="B783" s="793"/>
      <c r="C783" s="793"/>
      <c r="D783" s="793" t="s">
        <v>1</v>
      </c>
      <c r="E783" s="793" t="s">
        <v>2</v>
      </c>
      <c r="F783" s="793"/>
      <c r="G783" s="793"/>
      <c r="H783" s="793"/>
      <c r="I783" s="793"/>
      <c r="J783" s="792"/>
    </row>
    <row r="784" spans="1:10" ht="72.75" customHeight="1" x14ac:dyDescent="0.25">
      <c r="A784" s="793"/>
      <c r="B784" s="793"/>
      <c r="C784" s="793"/>
      <c r="D784" s="793"/>
      <c r="E784" s="418" t="s">
        <v>25</v>
      </c>
      <c r="F784" s="418" t="s">
        <v>571</v>
      </c>
      <c r="G784" s="418" t="s">
        <v>944</v>
      </c>
      <c r="H784" s="418" t="s">
        <v>26</v>
      </c>
      <c r="I784" s="418" t="s">
        <v>945</v>
      </c>
      <c r="J784" s="792"/>
    </row>
    <row r="785" spans="1:10" x14ac:dyDescent="0.25">
      <c r="A785" s="415">
        <v>1</v>
      </c>
      <c r="B785" s="415">
        <v>2</v>
      </c>
      <c r="C785" s="415">
        <v>3</v>
      </c>
      <c r="D785" s="415">
        <v>4</v>
      </c>
      <c r="E785" s="415">
        <v>5</v>
      </c>
      <c r="F785" s="415">
        <v>6</v>
      </c>
      <c r="G785" s="415">
        <v>7</v>
      </c>
      <c r="H785" s="415">
        <v>8</v>
      </c>
      <c r="I785" s="415">
        <v>9</v>
      </c>
      <c r="J785" s="617">
        <v>10</v>
      </c>
    </row>
    <row r="786" spans="1:10" x14ac:dyDescent="0.25">
      <c r="A786" s="576">
        <v>1</v>
      </c>
      <c r="B786" s="576" t="s">
        <v>946</v>
      </c>
      <c r="C786" s="415">
        <v>1</v>
      </c>
      <c r="D786" s="618">
        <v>66210</v>
      </c>
      <c r="E786" s="619">
        <v>13662</v>
      </c>
      <c r="F786" s="619">
        <v>3961.98</v>
      </c>
      <c r="G786" s="619">
        <v>2611.2006999999999</v>
      </c>
      <c r="H786" s="619">
        <v>7525</v>
      </c>
      <c r="I786" s="416">
        <f t="shared" ref="I786:I789" si="11">ROUND((E786+F786+G786+H786)*1.3,2)</f>
        <v>36088.230000000003</v>
      </c>
      <c r="J786" s="620">
        <f>D786/C786</f>
        <v>66210</v>
      </c>
    </row>
    <row r="787" spans="1:10" ht="45" x14ac:dyDescent="0.25">
      <c r="A787" s="576">
        <v>2</v>
      </c>
      <c r="B787" s="621" t="s">
        <v>947</v>
      </c>
      <c r="C787" s="415">
        <v>1</v>
      </c>
      <c r="D787" s="622">
        <v>40070.449999999997</v>
      </c>
      <c r="E787" s="619">
        <v>9563</v>
      </c>
      <c r="F787" s="619">
        <v>2773.27</v>
      </c>
      <c r="G787" s="619">
        <v>456.964</v>
      </c>
      <c r="H787" s="619">
        <v>4630</v>
      </c>
      <c r="I787" s="416">
        <f t="shared" si="11"/>
        <v>22650.2</v>
      </c>
      <c r="J787" s="623">
        <f t="shared" ref="J787:J790" si="12">D787/C787</f>
        <v>40070.449999999997</v>
      </c>
    </row>
    <row r="788" spans="1:10" ht="45" x14ac:dyDescent="0.25">
      <c r="A788" s="576">
        <v>3</v>
      </c>
      <c r="B788" s="576" t="s">
        <v>948</v>
      </c>
      <c r="C788" s="415">
        <v>1</v>
      </c>
      <c r="D788" s="618">
        <v>35855</v>
      </c>
      <c r="E788" s="619">
        <v>9563</v>
      </c>
      <c r="F788" s="619">
        <v>2390.75</v>
      </c>
      <c r="G788" s="624">
        <v>1370.88</v>
      </c>
      <c r="H788" s="619">
        <v>3550.0010000000002</v>
      </c>
      <c r="I788" s="416">
        <f t="shared" si="11"/>
        <v>21937.02</v>
      </c>
      <c r="J788" s="623">
        <f t="shared" si="12"/>
        <v>35855</v>
      </c>
    </row>
    <row r="789" spans="1:10" x14ac:dyDescent="0.25">
      <c r="A789" s="576">
        <v>4</v>
      </c>
      <c r="B789" s="576" t="s">
        <v>949</v>
      </c>
      <c r="C789" s="415">
        <v>0.5</v>
      </c>
      <c r="D789" s="618">
        <f>SUM(E789:I789)</f>
        <v>11041.543</v>
      </c>
      <c r="E789" s="619">
        <v>1990.5</v>
      </c>
      <c r="F789" s="619">
        <v>497.63</v>
      </c>
      <c r="G789" s="624">
        <v>95.7</v>
      </c>
      <c r="H789" s="619">
        <v>2216.8429999999998</v>
      </c>
      <c r="I789" s="416">
        <f t="shared" si="11"/>
        <v>6240.87</v>
      </c>
      <c r="J789" s="620">
        <f t="shared" si="12"/>
        <v>22083.085999999999</v>
      </c>
    </row>
    <row r="790" spans="1:10" x14ac:dyDescent="0.25">
      <c r="A790" s="576"/>
      <c r="B790" s="576" t="s">
        <v>344</v>
      </c>
      <c r="C790" s="415">
        <f t="shared" ref="C790:I790" si="13">SUM(C786:C789)</f>
        <v>3.5</v>
      </c>
      <c r="D790" s="538">
        <f t="shared" si="13"/>
        <v>153176.99300000002</v>
      </c>
      <c r="E790" s="625">
        <f t="shared" si="13"/>
        <v>34778.5</v>
      </c>
      <c r="F790" s="625">
        <f t="shared" si="13"/>
        <v>9623.6299999999992</v>
      </c>
      <c r="G790" s="415">
        <f t="shared" si="13"/>
        <v>4534.7447000000002</v>
      </c>
      <c r="H790" s="415">
        <f t="shared" si="13"/>
        <v>17921.844000000001</v>
      </c>
      <c r="I790" s="617">
        <f t="shared" si="13"/>
        <v>86916.32</v>
      </c>
      <c r="J790" s="620">
        <f t="shared" si="12"/>
        <v>43764.855142857145</v>
      </c>
    </row>
    <row r="791" spans="1:10" x14ac:dyDescent="0.25">
      <c r="A791" s="576"/>
      <c r="B791" s="576" t="s">
        <v>950</v>
      </c>
      <c r="C791" s="415"/>
      <c r="D791" s="626">
        <f>ROUND(D790*12,0)-10.33+1.15</f>
        <v>1838114.8199999998</v>
      </c>
      <c r="E791" s="415"/>
      <c r="F791" s="415"/>
      <c r="G791" s="415"/>
      <c r="H791" s="415"/>
      <c r="I791" s="617"/>
      <c r="J791" s="250"/>
    </row>
    <row r="794" spans="1:10" ht="18.75" x14ac:dyDescent="0.3">
      <c r="A794" s="842" t="s">
        <v>951</v>
      </c>
      <c r="B794" s="842"/>
      <c r="C794" s="842"/>
      <c r="D794" s="842"/>
      <c r="E794" s="842"/>
      <c r="F794" s="842"/>
      <c r="G794" s="842"/>
    </row>
    <row r="795" spans="1:10" x14ac:dyDescent="0.25">
      <c r="A795" s="208"/>
      <c r="B795" s="208"/>
      <c r="C795" s="208"/>
      <c r="D795" s="208"/>
      <c r="E795" s="208"/>
      <c r="F795" s="208"/>
      <c r="G795" s="208"/>
    </row>
    <row r="796" spans="1:10" ht="18.75" customHeight="1" x14ac:dyDescent="0.3">
      <c r="A796" s="435" t="s">
        <v>19</v>
      </c>
      <c r="B796" s="435"/>
      <c r="C796" s="840" t="s">
        <v>952</v>
      </c>
      <c r="D796" s="840"/>
      <c r="E796" s="840"/>
      <c r="F796" s="439"/>
      <c r="G796" s="440"/>
    </row>
    <row r="797" spans="1:10" ht="18.75" x14ac:dyDescent="0.3">
      <c r="A797" s="436" t="s">
        <v>675</v>
      </c>
      <c r="B797" s="435"/>
      <c r="C797" s="799" t="s">
        <v>683</v>
      </c>
      <c r="D797" s="799"/>
      <c r="E797" s="799"/>
      <c r="F797" s="799"/>
      <c r="G797" s="440"/>
    </row>
    <row r="798" spans="1:10" ht="18.75" x14ac:dyDescent="0.3">
      <c r="A798" s="800" t="s">
        <v>677</v>
      </c>
      <c r="B798" s="800"/>
      <c r="C798" s="799" t="s">
        <v>684</v>
      </c>
      <c r="D798" s="799"/>
      <c r="E798" s="437"/>
      <c r="F798" s="437"/>
      <c r="G798" s="441"/>
    </row>
    <row r="799" spans="1:10" x14ac:dyDescent="0.25">
      <c r="A799" s="208"/>
      <c r="B799" s="208"/>
      <c r="C799" s="208"/>
      <c r="D799" s="208"/>
      <c r="E799" s="208"/>
      <c r="F799" s="208"/>
      <c r="G799" s="441"/>
    </row>
    <row r="800" spans="1:10" x14ac:dyDescent="0.25">
      <c r="A800" s="208"/>
      <c r="B800" s="208"/>
      <c r="C800" s="208"/>
      <c r="D800" s="208"/>
      <c r="E800" s="208"/>
      <c r="F800" s="208"/>
      <c r="G800" s="208"/>
    </row>
    <row r="801" spans="1:7" ht="18.75" x14ac:dyDescent="0.3">
      <c r="A801" s="444" t="s">
        <v>953</v>
      </c>
      <c r="B801" s="435"/>
      <c r="C801" s="435"/>
      <c r="D801" s="435"/>
      <c r="E801" s="208"/>
      <c r="F801" s="208"/>
      <c r="G801" s="208"/>
    </row>
    <row r="802" spans="1:7" x14ac:dyDescent="0.25">
      <c r="A802" s="208"/>
      <c r="B802" s="208"/>
      <c r="C802" s="208"/>
      <c r="D802" s="208"/>
      <c r="E802" s="208"/>
      <c r="F802" s="208"/>
      <c r="G802" s="208"/>
    </row>
    <row r="803" spans="1:7" x14ac:dyDescent="0.25">
      <c r="A803" s="811" t="s">
        <v>23</v>
      </c>
      <c r="B803" s="801" t="s">
        <v>30</v>
      </c>
      <c r="C803" s="801" t="s">
        <v>75</v>
      </c>
      <c r="D803" s="801" t="s">
        <v>76</v>
      </c>
      <c r="E803" s="208"/>
      <c r="F803" s="208"/>
      <c r="G803" s="208"/>
    </row>
    <row r="804" spans="1:7" x14ac:dyDescent="0.25">
      <c r="A804" s="813"/>
      <c r="B804" s="801"/>
      <c r="C804" s="801"/>
      <c r="D804" s="801"/>
      <c r="E804" s="208"/>
      <c r="F804" s="208"/>
      <c r="G804" s="208"/>
    </row>
    <row r="805" spans="1:7" x14ac:dyDescent="0.25">
      <c r="A805" s="445">
        <v>1</v>
      </c>
      <c r="B805" s="445">
        <v>2</v>
      </c>
      <c r="C805" s="445">
        <v>3</v>
      </c>
      <c r="D805" s="445">
        <v>4</v>
      </c>
      <c r="E805" s="208"/>
      <c r="F805" s="208"/>
      <c r="G805" s="208"/>
    </row>
    <row r="806" spans="1:7" ht="25.5" x14ac:dyDescent="0.25">
      <c r="A806" s="446">
        <v>1</v>
      </c>
      <c r="B806" s="447" t="s">
        <v>691</v>
      </c>
      <c r="C806" s="447">
        <v>1</v>
      </c>
      <c r="D806" s="448">
        <f>5000*1</f>
        <v>5000</v>
      </c>
      <c r="E806" s="208"/>
      <c r="F806" s="208"/>
      <c r="G806" s="208"/>
    </row>
    <row r="807" spans="1:7" ht="25.5" x14ac:dyDescent="0.25">
      <c r="A807" s="446">
        <v>2</v>
      </c>
      <c r="B807" s="447" t="s">
        <v>722</v>
      </c>
      <c r="C807" s="447">
        <v>2</v>
      </c>
      <c r="D807" s="448">
        <v>4254.6000000000004</v>
      </c>
      <c r="E807" s="208"/>
      <c r="F807" s="208"/>
      <c r="G807" s="208"/>
    </row>
    <row r="808" spans="1:7" x14ac:dyDescent="0.25">
      <c r="A808" s="797" t="s">
        <v>344</v>
      </c>
      <c r="B808" s="797"/>
      <c r="C808" s="447"/>
      <c r="D808" s="448">
        <f>SUM(D806:D807)</f>
        <v>9254.6</v>
      </c>
      <c r="E808" s="208"/>
      <c r="F808" s="208"/>
      <c r="G808" s="208"/>
    </row>
    <row r="811" spans="1:7" ht="18.75" x14ac:dyDescent="0.3">
      <c r="A811" s="435" t="s">
        <v>19</v>
      </c>
      <c r="B811" s="435"/>
      <c r="C811" s="435"/>
      <c r="D811" s="874" t="s">
        <v>952</v>
      </c>
      <c r="E811" s="874"/>
      <c r="F811" s="874"/>
    </row>
    <row r="812" spans="1:7" ht="18.75" x14ac:dyDescent="0.3">
      <c r="A812" s="436" t="s">
        <v>675</v>
      </c>
      <c r="B812" s="435"/>
      <c r="C812" s="435"/>
      <c r="D812" s="868" t="s">
        <v>710</v>
      </c>
      <c r="E812" s="868"/>
      <c r="F812" s="868"/>
    </row>
    <row r="813" spans="1:7" ht="18.75" x14ac:dyDescent="0.3">
      <c r="A813" s="470" t="s">
        <v>677</v>
      </c>
      <c r="B813" s="470"/>
      <c r="C813" s="470"/>
      <c r="D813" s="471" t="s">
        <v>684</v>
      </c>
      <c r="E813" s="472"/>
      <c r="F813" s="472"/>
    </row>
    <row r="814" spans="1:7" ht="18.75" x14ac:dyDescent="0.3">
      <c r="A814" s="473"/>
      <c r="B814" s="474"/>
      <c r="C814" s="474"/>
      <c r="D814" s="474"/>
      <c r="E814" s="474"/>
      <c r="F814" s="474"/>
    </row>
    <row r="815" spans="1:7" ht="18.75" x14ac:dyDescent="0.3">
      <c r="A815" s="473"/>
      <c r="B815" s="474"/>
      <c r="C815" s="474"/>
      <c r="D815" s="474"/>
      <c r="E815" s="474"/>
      <c r="F815" s="474"/>
    </row>
    <row r="816" spans="1:7" ht="90" x14ac:dyDescent="0.25">
      <c r="A816" s="418" t="s">
        <v>23</v>
      </c>
      <c r="B816" s="418" t="s">
        <v>30</v>
      </c>
      <c r="C816" s="418" t="s">
        <v>55</v>
      </c>
      <c r="D816" s="418" t="s">
        <v>56</v>
      </c>
      <c r="E816" s="418" t="s">
        <v>711</v>
      </c>
      <c r="F816" s="418" t="s">
        <v>31</v>
      </c>
    </row>
    <row r="817" spans="1:6" x14ac:dyDescent="0.25">
      <c r="A817" s="415">
        <v>1</v>
      </c>
      <c r="B817" s="415">
        <v>2</v>
      </c>
      <c r="C817" s="415">
        <v>3</v>
      </c>
      <c r="D817" s="415">
        <v>4</v>
      </c>
      <c r="E817" s="415">
        <v>5</v>
      </c>
      <c r="F817" s="415">
        <v>6</v>
      </c>
    </row>
    <row r="818" spans="1:6" x14ac:dyDescent="0.25">
      <c r="A818" s="5">
        <v>1</v>
      </c>
      <c r="B818" s="5" t="s">
        <v>712</v>
      </c>
      <c r="C818" s="442">
        <v>450</v>
      </c>
      <c r="D818" s="5">
        <v>1</v>
      </c>
      <c r="E818" s="5">
        <v>9</v>
      </c>
      <c r="F818" s="457">
        <f>E818*D818*C818</f>
        <v>4050</v>
      </c>
    </row>
    <row r="819" spans="1:6" x14ac:dyDescent="0.25">
      <c r="A819" s="5">
        <v>2</v>
      </c>
      <c r="B819" s="5" t="s">
        <v>713</v>
      </c>
      <c r="C819" s="442">
        <v>5200</v>
      </c>
      <c r="D819" s="5">
        <v>1</v>
      </c>
      <c r="E819" s="5"/>
      <c r="F819" s="457">
        <f>D819*C819</f>
        <v>5200</v>
      </c>
    </row>
    <row r="820" spans="1:6" x14ac:dyDescent="0.25">
      <c r="A820" s="5">
        <v>3</v>
      </c>
      <c r="B820" s="5" t="s">
        <v>954</v>
      </c>
      <c r="C820" s="442">
        <v>585</v>
      </c>
      <c r="D820" s="5">
        <v>1</v>
      </c>
      <c r="E820" s="5">
        <v>4</v>
      </c>
      <c r="F820" s="457">
        <f>E820*D820*C820-40</f>
        <v>2300</v>
      </c>
    </row>
    <row r="821" spans="1:6" ht="60" x14ac:dyDescent="0.25">
      <c r="A821" s="5">
        <v>4</v>
      </c>
      <c r="B821" s="5" t="s">
        <v>731</v>
      </c>
      <c r="C821" s="442">
        <v>135</v>
      </c>
      <c r="D821" s="5">
        <v>1</v>
      </c>
      <c r="E821" s="5">
        <v>4</v>
      </c>
      <c r="F821" s="457">
        <f>E821*D821*C821-40</f>
        <v>500</v>
      </c>
    </row>
    <row r="822" spans="1:6" x14ac:dyDescent="0.25">
      <c r="A822" s="870" t="s">
        <v>344</v>
      </c>
      <c r="B822" s="871"/>
      <c r="C822" s="5"/>
      <c r="D822" s="5"/>
      <c r="E822" s="5"/>
      <c r="F822" s="457">
        <f>SUM(F818:F821)</f>
        <v>12050</v>
      </c>
    </row>
    <row r="825" spans="1:6" ht="18.75" customHeight="1" x14ac:dyDescent="0.3">
      <c r="A825" s="435" t="s">
        <v>19</v>
      </c>
      <c r="B825" s="435"/>
      <c r="C825" s="840" t="s">
        <v>952</v>
      </c>
      <c r="D825" s="840"/>
    </row>
    <row r="826" spans="1:6" ht="54.75" customHeight="1" x14ac:dyDescent="0.3">
      <c r="A826" s="436" t="s">
        <v>675</v>
      </c>
      <c r="B826" s="435"/>
      <c r="C826" s="837" t="s">
        <v>938</v>
      </c>
      <c r="D826" s="837"/>
      <c r="E826" s="837"/>
    </row>
    <row r="827" spans="1:6" ht="37.5" customHeight="1" x14ac:dyDescent="0.3">
      <c r="A827" s="470" t="s">
        <v>677</v>
      </c>
      <c r="B827" s="470"/>
      <c r="C827" s="837" t="s">
        <v>684</v>
      </c>
      <c r="D827" s="837"/>
      <c r="E827" s="837"/>
    </row>
    <row r="828" spans="1:6" ht="18.75" x14ac:dyDescent="0.3">
      <c r="A828" s="612"/>
      <c r="B828" s="612"/>
      <c r="C828" s="613"/>
      <c r="D828" s="612"/>
    </row>
    <row r="829" spans="1:6" x14ac:dyDescent="0.25">
      <c r="A829" s="208"/>
      <c r="B829" s="208" t="s">
        <v>966</v>
      </c>
      <c r="C829" s="208"/>
      <c r="D829" s="208"/>
    </row>
    <row r="830" spans="1:6" ht="60" x14ac:dyDescent="0.25">
      <c r="A830" s="415" t="s">
        <v>23</v>
      </c>
      <c r="B830" s="415" t="s">
        <v>34</v>
      </c>
      <c r="C830" s="415" t="s">
        <v>35</v>
      </c>
      <c r="D830" s="415" t="s">
        <v>36</v>
      </c>
    </row>
    <row r="831" spans="1:6" x14ac:dyDescent="0.25">
      <c r="A831" s="415">
        <v>1</v>
      </c>
      <c r="B831" s="415">
        <v>2</v>
      </c>
      <c r="C831" s="415">
        <v>3</v>
      </c>
      <c r="D831" s="415">
        <v>4</v>
      </c>
    </row>
    <row r="832" spans="1:6" ht="60" x14ac:dyDescent="0.25">
      <c r="A832" s="415">
        <v>1</v>
      </c>
      <c r="B832" s="5" t="s">
        <v>939</v>
      </c>
      <c r="C832" s="538">
        <v>986039.29</v>
      </c>
      <c r="D832" s="538">
        <f>D834+D835</f>
        <v>216928.64000000001</v>
      </c>
    </row>
    <row r="833" spans="1:4" x14ac:dyDescent="0.25">
      <c r="A833" s="5"/>
      <c r="B833" s="5" t="s">
        <v>4</v>
      </c>
      <c r="C833" s="538"/>
      <c r="D833" s="538"/>
    </row>
    <row r="834" spans="1:4" x14ac:dyDescent="0.25">
      <c r="A834" s="415" t="s">
        <v>38</v>
      </c>
      <c r="B834" s="5" t="s">
        <v>39</v>
      </c>
      <c r="C834" s="538">
        <f>C832-C835</f>
        <v>986039.29</v>
      </c>
      <c r="D834" s="538">
        <f>(ROUND(C834*0.22,2))</f>
        <v>216928.64000000001</v>
      </c>
    </row>
    <row r="835" spans="1:4" x14ac:dyDescent="0.25">
      <c r="A835" s="415" t="s">
        <v>40</v>
      </c>
      <c r="B835" s="5" t="s">
        <v>41</v>
      </c>
      <c r="C835" s="538"/>
      <c r="D835" s="538">
        <f>C835*0.1</f>
        <v>0</v>
      </c>
    </row>
    <row r="836" spans="1:4" ht="90" x14ac:dyDescent="0.25">
      <c r="A836" s="415" t="s">
        <v>42</v>
      </c>
      <c r="B836" s="5" t="s">
        <v>43</v>
      </c>
      <c r="C836" s="538"/>
      <c r="D836" s="538"/>
    </row>
    <row r="837" spans="1:4" ht="60" x14ac:dyDescent="0.25">
      <c r="A837" s="415">
        <v>2</v>
      </c>
      <c r="B837" s="5" t="s">
        <v>44</v>
      </c>
      <c r="C837" s="614"/>
      <c r="D837" s="614">
        <f>D839+D841</f>
        <v>30567.08</v>
      </c>
    </row>
    <row r="838" spans="1:4" x14ac:dyDescent="0.25">
      <c r="A838" s="5"/>
      <c r="B838" s="5" t="s">
        <v>4</v>
      </c>
      <c r="C838" s="538"/>
      <c r="D838" s="538"/>
    </row>
    <row r="839" spans="1:4" ht="90" x14ac:dyDescent="0.25">
      <c r="A839" s="415" t="s">
        <v>45</v>
      </c>
      <c r="B839" s="5" t="s">
        <v>46</v>
      </c>
      <c r="C839" s="538">
        <f>C832-C840</f>
        <v>986039.29</v>
      </c>
      <c r="D839" s="538">
        <f>ROUND(C839*0.029,0)</f>
        <v>28595</v>
      </c>
    </row>
    <row r="840" spans="1:4" ht="75" x14ac:dyDescent="0.25">
      <c r="A840" s="415" t="s">
        <v>47</v>
      </c>
      <c r="B840" s="5" t="s">
        <v>48</v>
      </c>
      <c r="C840" s="538"/>
      <c r="D840" s="538">
        <v>0</v>
      </c>
    </row>
    <row r="841" spans="1:4" ht="105" x14ac:dyDescent="0.25">
      <c r="A841" s="415" t="s">
        <v>49</v>
      </c>
      <c r="B841" s="5" t="s">
        <v>50</v>
      </c>
      <c r="C841" s="538">
        <f>C832</f>
        <v>986039.29</v>
      </c>
      <c r="D841" s="538">
        <f>ROUND(C841*0.002,2)</f>
        <v>1972.08</v>
      </c>
    </row>
    <row r="842" spans="1:4" ht="105" x14ac:dyDescent="0.25">
      <c r="A842" s="415" t="s">
        <v>51</v>
      </c>
      <c r="B842" s="5" t="s">
        <v>52</v>
      </c>
      <c r="C842" s="538"/>
      <c r="D842" s="538"/>
    </row>
    <row r="843" spans="1:4" ht="105" x14ac:dyDescent="0.25">
      <c r="A843" s="415" t="s">
        <v>53</v>
      </c>
      <c r="B843" s="5" t="s">
        <v>52</v>
      </c>
      <c r="C843" s="538"/>
      <c r="D843" s="538"/>
    </row>
    <row r="844" spans="1:4" ht="90" x14ac:dyDescent="0.25">
      <c r="A844" s="415">
        <v>3</v>
      </c>
      <c r="B844" s="5" t="s">
        <v>54</v>
      </c>
      <c r="C844" s="538">
        <f>C832</f>
        <v>986039.29</v>
      </c>
      <c r="D844" s="538">
        <f>ROUND(C844*0.051,2)</f>
        <v>50288</v>
      </c>
    </row>
    <row r="845" spans="1:4" x14ac:dyDescent="0.25">
      <c r="A845" s="838" t="s">
        <v>344</v>
      </c>
      <c r="B845" s="838"/>
      <c r="C845" s="538">
        <f>C832</f>
        <v>986039.29</v>
      </c>
      <c r="D845" s="538">
        <f>ROUND(D832+D839+D844+D841,2)+0.14</f>
        <v>297783.86</v>
      </c>
    </row>
    <row r="848" spans="1:4" ht="18.75" x14ac:dyDescent="0.3">
      <c r="A848" s="435" t="s">
        <v>19</v>
      </c>
      <c r="B848" s="435"/>
      <c r="C848" s="798" t="s">
        <v>773</v>
      </c>
      <c r="D848" s="798"/>
    </row>
    <row r="849" spans="1:5" ht="102.75" customHeight="1" x14ac:dyDescent="0.3">
      <c r="A849" s="436" t="s">
        <v>675</v>
      </c>
      <c r="B849" s="435"/>
      <c r="C849" s="837" t="s">
        <v>938</v>
      </c>
      <c r="D849" s="837"/>
      <c r="E849" s="837"/>
    </row>
    <row r="850" spans="1:5" ht="37.5" customHeight="1" x14ac:dyDescent="0.3">
      <c r="A850" s="470" t="s">
        <v>677</v>
      </c>
      <c r="B850" s="470"/>
      <c r="C850" s="837" t="s">
        <v>774</v>
      </c>
      <c r="D850" s="837"/>
    </row>
    <row r="851" spans="1:5" ht="18.75" x14ac:dyDescent="0.3">
      <c r="A851" s="612"/>
      <c r="B851" s="612"/>
      <c r="C851" s="613"/>
      <c r="D851" s="612"/>
    </row>
    <row r="852" spans="1:5" x14ac:dyDescent="0.25">
      <c r="A852" s="208"/>
      <c r="B852" s="208" t="s">
        <v>966</v>
      </c>
      <c r="C852" s="208"/>
      <c r="D852" s="208"/>
    </row>
    <row r="853" spans="1:5" ht="60" x14ac:dyDescent="0.25">
      <c r="A853" s="415" t="s">
        <v>23</v>
      </c>
      <c r="B853" s="415" t="s">
        <v>34</v>
      </c>
      <c r="C853" s="415" t="s">
        <v>35</v>
      </c>
      <c r="D853" s="415" t="s">
        <v>36</v>
      </c>
    </row>
    <row r="854" spans="1:5" x14ac:dyDescent="0.25">
      <c r="A854" s="415">
        <v>1</v>
      </c>
      <c r="B854" s="415">
        <v>2</v>
      </c>
      <c r="C854" s="415">
        <v>3</v>
      </c>
      <c r="D854" s="415">
        <v>4</v>
      </c>
    </row>
    <row r="855" spans="1:5" ht="60" x14ac:dyDescent="0.25">
      <c r="A855" s="415">
        <v>1</v>
      </c>
      <c r="B855" s="5" t="s">
        <v>939</v>
      </c>
      <c r="C855" s="538">
        <v>5652622.79</v>
      </c>
      <c r="D855" s="538">
        <f>ROUND(C855*0.22,2)+22610.2</f>
        <v>1266187.21</v>
      </c>
    </row>
    <row r="856" spans="1:5" x14ac:dyDescent="0.25">
      <c r="A856" s="5"/>
      <c r="B856" s="5" t="s">
        <v>4</v>
      </c>
      <c r="C856" s="538"/>
      <c r="D856" s="538"/>
    </row>
    <row r="857" spans="1:5" x14ac:dyDescent="0.25">
      <c r="A857" s="415" t="s">
        <v>38</v>
      </c>
      <c r="B857" s="5" t="s">
        <v>39</v>
      </c>
      <c r="C857" s="538">
        <f>C855</f>
        <v>5652622.79</v>
      </c>
      <c r="D857" s="538">
        <f>D855</f>
        <v>1266187.21</v>
      </c>
    </row>
    <row r="858" spans="1:5" x14ac:dyDescent="0.25">
      <c r="A858" s="415" t="s">
        <v>40</v>
      </c>
      <c r="B858" s="5" t="s">
        <v>41</v>
      </c>
      <c r="C858" s="538"/>
      <c r="D858" s="538"/>
    </row>
    <row r="859" spans="1:5" ht="90" x14ac:dyDescent="0.25">
      <c r="A859" s="415" t="s">
        <v>42</v>
      </c>
      <c r="B859" s="5" t="s">
        <v>43</v>
      </c>
      <c r="C859" s="538"/>
      <c r="D859" s="538"/>
    </row>
    <row r="860" spans="1:5" ht="60" x14ac:dyDescent="0.25">
      <c r="A860" s="415">
        <v>2</v>
      </c>
      <c r="B860" s="5" t="s">
        <v>44</v>
      </c>
      <c r="C860" s="614"/>
      <c r="D860" s="614">
        <f>D862+D864</f>
        <v>175231.31</v>
      </c>
    </row>
    <row r="861" spans="1:5" x14ac:dyDescent="0.25">
      <c r="A861" s="5"/>
      <c r="B861" s="5" t="s">
        <v>4</v>
      </c>
      <c r="C861" s="538"/>
      <c r="D861" s="538"/>
    </row>
    <row r="862" spans="1:5" ht="90" x14ac:dyDescent="0.25">
      <c r="A862" s="415" t="s">
        <v>45</v>
      </c>
      <c r="B862" s="5" t="s">
        <v>46</v>
      </c>
      <c r="C862" s="538">
        <f>C855</f>
        <v>5652622.79</v>
      </c>
      <c r="D862" s="538">
        <f>ROUND(C862*0.029,2)</f>
        <v>163926.06</v>
      </c>
    </row>
    <row r="863" spans="1:5" ht="75" x14ac:dyDescent="0.25">
      <c r="A863" s="415" t="s">
        <v>47</v>
      </c>
      <c r="B863" s="5" t="s">
        <v>48</v>
      </c>
      <c r="C863" s="538"/>
      <c r="D863" s="538"/>
    </row>
    <row r="864" spans="1:5" ht="105" x14ac:dyDescent="0.25">
      <c r="A864" s="415" t="s">
        <v>49</v>
      </c>
      <c r="B864" s="5" t="s">
        <v>50</v>
      </c>
      <c r="C864" s="538">
        <f>C855</f>
        <v>5652622.79</v>
      </c>
      <c r="D864" s="538">
        <f>ROUND(C864*0.002,2)</f>
        <v>11305.25</v>
      </c>
    </row>
    <row r="865" spans="1:10" ht="105" x14ac:dyDescent="0.25">
      <c r="A865" s="415" t="s">
        <v>51</v>
      </c>
      <c r="B865" s="5" t="s">
        <v>52</v>
      </c>
      <c r="C865" s="538"/>
      <c r="D865" s="538"/>
    </row>
    <row r="866" spans="1:10" ht="105" x14ac:dyDescent="0.25">
      <c r="A866" s="415" t="s">
        <v>53</v>
      </c>
      <c r="B866" s="5" t="s">
        <v>52</v>
      </c>
      <c r="C866" s="538"/>
      <c r="D866" s="538"/>
    </row>
    <row r="867" spans="1:10" ht="90" x14ac:dyDescent="0.25">
      <c r="A867" s="415">
        <v>3</v>
      </c>
      <c r="B867" s="5" t="s">
        <v>54</v>
      </c>
      <c r="C867" s="538">
        <f>C855</f>
        <v>5652622.79</v>
      </c>
      <c r="D867" s="538">
        <f>ROUND(C867*0.051,2)</f>
        <v>288283.76</v>
      </c>
    </row>
    <row r="868" spans="1:10" x14ac:dyDescent="0.25">
      <c r="A868" s="838" t="s">
        <v>344</v>
      </c>
      <c r="B868" s="838"/>
      <c r="C868" s="538">
        <f>C855</f>
        <v>5652622.79</v>
      </c>
      <c r="D868" s="538">
        <f>ROUND(D855+D862+D867+D864,0)+0.37+0.2</f>
        <v>1729702.57</v>
      </c>
    </row>
    <row r="874" spans="1:10" ht="18.75" x14ac:dyDescent="0.3">
      <c r="A874" s="470" t="s">
        <v>915</v>
      </c>
      <c r="B874" s="208"/>
      <c r="C874" s="208"/>
      <c r="D874" s="574" t="s">
        <v>955</v>
      </c>
      <c r="E874" s="437"/>
      <c r="F874" s="437"/>
      <c r="G874" s="437"/>
      <c r="H874" s="437"/>
      <c r="I874" s="441"/>
      <c r="J874" s="11"/>
    </row>
    <row r="875" spans="1:10" ht="18.75" x14ac:dyDescent="0.3">
      <c r="A875" s="435" t="s">
        <v>675</v>
      </c>
      <c r="B875" s="435"/>
      <c r="C875" s="435"/>
      <c r="D875" s="503" t="s">
        <v>940</v>
      </c>
      <c r="E875" s="439"/>
      <c r="F875" s="439"/>
      <c r="G875" s="439"/>
      <c r="H875" s="439"/>
      <c r="I875" s="440"/>
      <c r="J875" s="11"/>
    </row>
    <row r="876" spans="1:10" ht="18.75" x14ac:dyDescent="0.3">
      <c r="A876" s="470" t="s">
        <v>677</v>
      </c>
      <c r="B876" s="470"/>
      <c r="C876" s="470"/>
      <c r="D876" s="578" t="s">
        <v>774</v>
      </c>
      <c r="E876" s="472"/>
      <c r="F876" s="472"/>
      <c r="G876" s="472"/>
      <c r="H876" s="472"/>
      <c r="I876" s="441"/>
      <c r="J876" s="11"/>
    </row>
    <row r="877" spans="1:10" x14ac:dyDescent="0.25">
      <c r="A877" s="208"/>
      <c r="B877" s="208"/>
      <c r="C877" s="208"/>
      <c r="D877" s="208" t="s">
        <v>971</v>
      </c>
      <c r="E877" s="208"/>
      <c r="F877" s="208"/>
      <c r="G877" s="208"/>
      <c r="H877" s="208"/>
      <c r="I877" s="208"/>
      <c r="J877" s="11"/>
    </row>
    <row r="878" spans="1:10" x14ac:dyDescent="0.25">
      <c r="A878" s="793" t="s">
        <v>23</v>
      </c>
      <c r="B878" s="793" t="s">
        <v>941</v>
      </c>
      <c r="C878" s="793" t="s">
        <v>24</v>
      </c>
      <c r="D878" s="793" t="s">
        <v>942</v>
      </c>
      <c r="E878" s="793"/>
      <c r="F878" s="793"/>
      <c r="G878" s="793"/>
      <c r="H878" s="793"/>
      <c r="I878" s="793"/>
      <c r="J878" s="792" t="s">
        <v>943</v>
      </c>
    </row>
    <row r="879" spans="1:10" x14ac:dyDescent="0.25">
      <c r="A879" s="793"/>
      <c r="B879" s="793"/>
      <c r="C879" s="793"/>
      <c r="D879" s="793" t="s">
        <v>1</v>
      </c>
      <c r="E879" s="793" t="s">
        <v>2</v>
      </c>
      <c r="F879" s="793"/>
      <c r="G879" s="793"/>
      <c r="H879" s="793"/>
      <c r="I879" s="793"/>
      <c r="J879" s="792"/>
    </row>
    <row r="880" spans="1:10" ht="48" customHeight="1" x14ac:dyDescent="0.25">
      <c r="A880" s="793"/>
      <c r="B880" s="793"/>
      <c r="C880" s="793"/>
      <c r="D880" s="793"/>
      <c r="E880" s="418" t="s">
        <v>25</v>
      </c>
      <c r="F880" s="418" t="s">
        <v>571</v>
      </c>
      <c r="G880" s="418" t="s">
        <v>944</v>
      </c>
      <c r="H880" s="418" t="s">
        <v>26</v>
      </c>
      <c r="I880" s="418" t="s">
        <v>945</v>
      </c>
      <c r="J880" s="792"/>
    </row>
    <row r="881" spans="1:12" x14ac:dyDescent="0.25">
      <c r="A881" s="415">
        <v>1</v>
      </c>
      <c r="B881" s="415">
        <v>2</v>
      </c>
      <c r="C881" s="415">
        <v>3</v>
      </c>
      <c r="D881" s="415">
        <v>4</v>
      </c>
      <c r="E881" s="415">
        <v>5</v>
      </c>
      <c r="F881" s="415">
        <v>6</v>
      </c>
      <c r="G881" s="415">
        <v>7</v>
      </c>
      <c r="H881" s="415">
        <v>8</v>
      </c>
      <c r="I881" s="415">
        <v>9</v>
      </c>
      <c r="J881" s="617">
        <v>10</v>
      </c>
    </row>
    <row r="882" spans="1:12" ht="26.25" x14ac:dyDescent="0.25">
      <c r="A882" s="576">
        <v>1</v>
      </c>
      <c r="B882" s="627" t="s">
        <v>956</v>
      </c>
      <c r="C882" s="625">
        <v>1</v>
      </c>
      <c r="D882" s="628">
        <v>45000</v>
      </c>
      <c r="E882" s="619">
        <v>5373</v>
      </c>
      <c r="F882" s="619">
        <v>1343.25</v>
      </c>
      <c r="G882" s="619">
        <v>0</v>
      </c>
      <c r="H882" s="417">
        <f>ROUND(D882/2.3-E882-F882-G882,2)</f>
        <v>12848.97</v>
      </c>
      <c r="I882" s="416">
        <f>ROUND((E882+F882+G882+H882)*1.3,2)</f>
        <v>25434.79</v>
      </c>
      <c r="J882" s="620">
        <f>D882/C882</f>
        <v>45000</v>
      </c>
    </row>
    <row r="883" spans="1:12" ht="39" x14ac:dyDescent="0.25">
      <c r="A883" s="576">
        <v>2</v>
      </c>
      <c r="B883" s="627" t="s">
        <v>957</v>
      </c>
      <c r="C883" s="625">
        <v>2</v>
      </c>
      <c r="D883" s="618">
        <v>53401</v>
      </c>
      <c r="E883" s="619">
        <v>4908</v>
      </c>
      <c r="F883" s="619">
        <v>588.96</v>
      </c>
      <c r="G883" s="624">
        <v>0</v>
      </c>
      <c r="H883" s="417">
        <f>ROUND(D883/2.3-E883-F883-G883,2)</f>
        <v>17720.87</v>
      </c>
      <c r="I883" s="416">
        <f>ROUND((E883+F883+G883+H883)*1.3,2)</f>
        <v>30183.18</v>
      </c>
      <c r="J883" s="620">
        <f t="shared" ref="J883:J889" si="14">D883/C883</f>
        <v>26700.5</v>
      </c>
    </row>
    <row r="884" spans="1:12" ht="26.25" x14ac:dyDescent="0.25">
      <c r="A884" s="576">
        <v>3</v>
      </c>
      <c r="B884" s="627" t="s">
        <v>28</v>
      </c>
      <c r="C884" s="625">
        <v>6.5</v>
      </c>
      <c r="D884" s="618">
        <f>161898-10000-30900+4000</f>
        <v>124998</v>
      </c>
      <c r="E884" s="619">
        <v>15951</v>
      </c>
      <c r="F884" s="619">
        <v>1914.12</v>
      </c>
      <c r="G884" s="624">
        <v>0</v>
      </c>
      <c r="H884" s="417">
        <f>ROUND(D884/2.3-E884-F884-G884,2)</f>
        <v>36481.839999999997</v>
      </c>
      <c r="I884" s="416">
        <f>ROUND((E884+F884+G884+H884)*1.3,2)</f>
        <v>70651.05</v>
      </c>
      <c r="J884" s="620">
        <f t="shared" si="14"/>
        <v>19230.461538461539</v>
      </c>
    </row>
    <row r="885" spans="1:12" x14ac:dyDescent="0.25">
      <c r="A885" s="576">
        <v>4</v>
      </c>
      <c r="B885" s="627" t="s">
        <v>139</v>
      </c>
      <c r="C885" s="625">
        <v>1</v>
      </c>
      <c r="D885" s="618">
        <v>27899</v>
      </c>
      <c r="E885" s="619">
        <v>2454</v>
      </c>
      <c r="F885" s="619">
        <v>0</v>
      </c>
      <c r="G885" s="624">
        <v>0</v>
      </c>
      <c r="H885" s="417">
        <f>ROUND(D885/2.3-E885-F885-G885,2)</f>
        <v>9676</v>
      </c>
      <c r="I885" s="416">
        <f>ROUND((E885+F885+G885+H885)*1.3,2)</f>
        <v>15769</v>
      </c>
      <c r="J885" s="620">
        <f t="shared" si="14"/>
        <v>27899</v>
      </c>
    </row>
    <row r="886" spans="1:12" x14ac:dyDescent="0.25">
      <c r="A886" s="576">
        <v>5</v>
      </c>
      <c r="B886" s="627" t="s">
        <v>958</v>
      </c>
      <c r="C886" s="625">
        <v>3</v>
      </c>
      <c r="D886" s="618">
        <v>76883</v>
      </c>
      <c r="E886" s="619">
        <v>7362</v>
      </c>
      <c r="F886" s="619">
        <v>0</v>
      </c>
      <c r="G886" s="624">
        <v>0</v>
      </c>
      <c r="H886" s="417">
        <f>ROUND(D886/2.3-E886-F886-G886,2)</f>
        <v>26065.39</v>
      </c>
      <c r="I886" s="416">
        <f>ROUND((E886+F886+G886+H886)*1.3,2)</f>
        <v>43455.61</v>
      </c>
      <c r="J886" s="620">
        <f t="shared" si="14"/>
        <v>25627.666666666668</v>
      </c>
    </row>
    <row r="887" spans="1:12" x14ac:dyDescent="0.25">
      <c r="A887" s="576">
        <v>6</v>
      </c>
      <c r="B887" s="627" t="s">
        <v>140</v>
      </c>
      <c r="C887" s="625">
        <v>3</v>
      </c>
      <c r="D887" s="618">
        <v>77882</v>
      </c>
      <c r="E887" s="619">
        <v>7362</v>
      </c>
      <c r="F887" s="619">
        <v>883.44</v>
      </c>
      <c r="G887" s="624">
        <v>0</v>
      </c>
      <c r="H887" s="417">
        <f t="shared" ref="H887:H888" si="15">ROUND(D887/2.3-E887-F887-G887,2)</f>
        <v>25616.3</v>
      </c>
      <c r="I887" s="416">
        <f t="shared" ref="I887:I888" si="16">ROUND((E887+F887+G887+H887)*1.3,2)</f>
        <v>44020.26</v>
      </c>
      <c r="J887" s="620">
        <f t="shared" si="14"/>
        <v>25960.666666666668</v>
      </c>
    </row>
    <row r="888" spans="1:12" x14ac:dyDescent="0.25">
      <c r="A888" s="576">
        <v>7</v>
      </c>
      <c r="B888" s="627" t="s">
        <v>959</v>
      </c>
      <c r="C888" s="625">
        <v>2</v>
      </c>
      <c r="D888" s="618">
        <v>51888</v>
      </c>
      <c r="E888" s="619">
        <v>4908</v>
      </c>
      <c r="F888" s="619">
        <v>0</v>
      </c>
      <c r="G888" s="624">
        <v>0</v>
      </c>
      <c r="H888" s="417">
        <f t="shared" si="15"/>
        <v>17652</v>
      </c>
      <c r="I888" s="416">
        <f t="shared" si="16"/>
        <v>29328</v>
      </c>
      <c r="J888" s="620">
        <f t="shared" si="14"/>
        <v>25944</v>
      </c>
    </row>
    <row r="889" spans="1:12" ht="15.75" x14ac:dyDescent="0.25">
      <c r="A889" s="576">
        <v>8</v>
      </c>
      <c r="B889" s="627" t="s">
        <v>960</v>
      </c>
      <c r="C889" s="625">
        <v>0.5</v>
      </c>
      <c r="D889" s="629">
        <v>12972</v>
      </c>
      <c r="E889" s="619">
        <v>1227</v>
      </c>
      <c r="F889" s="619">
        <v>0</v>
      </c>
      <c r="G889" s="624">
        <v>0</v>
      </c>
      <c r="H889" s="417">
        <f>ROUND(D889/2.3-E889-F889-G889,2)</f>
        <v>4413</v>
      </c>
      <c r="I889" s="416">
        <f>ROUND((E889+F889+G889+H889)*1.3,2)</f>
        <v>7332</v>
      </c>
      <c r="J889" s="620">
        <f t="shared" si="14"/>
        <v>25944</v>
      </c>
    </row>
    <row r="890" spans="1:12" x14ac:dyDescent="0.25">
      <c r="A890" s="576"/>
      <c r="B890" s="576" t="s">
        <v>344</v>
      </c>
      <c r="C890" s="625">
        <f t="shared" ref="C890:I890" si="17">SUM(C882:C889)</f>
        <v>19</v>
      </c>
      <c r="D890" s="538">
        <f>SUM(D882:D889)+1.29-0.29+0.03</f>
        <v>470924.03</v>
      </c>
      <c r="E890" s="625">
        <f t="shared" si="17"/>
        <v>49545</v>
      </c>
      <c r="F890" s="625">
        <f t="shared" si="17"/>
        <v>4729.7700000000004</v>
      </c>
      <c r="G890" s="625">
        <f t="shared" si="17"/>
        <v>0</v>
      </c>
      <c r="H890" s="415">
        <f t="shared" si="17"/>
        <v>150474.37</v>
      </c>
      <c r="I890" s="617">
        <f t="shared" si="17"/>
        <v>266173.89</v>
      </c>
      <c r="J890" s="620">
        <f>D890/C890</f>
        <v>24785.475263157896</v>
      </c>
    </row>
    <row r="891" spans="1:12" x14ac:dyDescent="0.25">
      <c r="A891" s="576"/>
      <c r="B891" s="576" t="s">
        <v>950</v>
      </c>
      <c r="C891" s="630"/>
      <c r="D891" s="626">
        <f>ROUND(D890*12,0)+7.14-6.8+1534.45</f>
        <v>5652622.79</v>
      </c>
      <c r="E891" s="625"/>
      <c r="F891" s="625"/>
      <c r="G891" s="625"/>
      <c r="H891" s="415"/>
      <c r="I891" s="617"/>
      <c r="J891" s="250"/>
      <c r="L891" s="215">
        <v>6070428.3399999999</v>
      </c>
    </row>
    <row r="895" spans="1:12" ht="18.75" x14ac:dyDescent="0.3">
      <c r="A895" s="470" t="s">
        <v>915</v>
      </c>
      <c r="B895" s="208"/>
      <c r="C895" s="208"/>
      <c r="D895" s="574" t="s">
        <v>952</v>
      </c>
      <c r="E895" s="437"/>
      <c r="F895" s="437"/>
      <c r="G895" s="437"/>
      <c r="H895" s="437"/>
      <c r="I895" s="441"/>
      <c r="J895" s="11"/>
    </row>
    <row r="896" spans="1:12" ht="18.75" x14ac:dyDescent="0.3">
      <c r="A896" s="435" t="s">
        <v>675</v>
      </c>
      <c r="B896" s="435"/>
      <c r="C896" s="435"/>
      <c r="D896" s="503" t="s">
        <v>940</v>
      </c>
      <c r="E896" s="439"/>
      <c r="F896" s="439"/>
      <c r="G896" s="439"/>
      <c r="H896" s="439"/>
      <c r="I896" s="440"/>
      <c r="J896" s="11"/>
    </row>
    <row r="897" spans="1:13" ht="18.75" x14ac:dyDescent="0.3">
      <c r="A897" s="470" t="s">
        <v>677</v>
      </c>
      <c r="B897" s="470"/>
      <c r="C897" s="470"/>
      <c r="D897" s="578" t="s">
        <v>684</v>
      </c>
      <c r="E897" s="472"/>
      <c r="F897" s="472"/>
      <c r="G897" s="472"/>
      <c r="H897" s="472"/>
      <c r="I897" s="441"/>
      <c r="J897" s="11"/>
    </row>
    <row r="898" spans="1:13" x14ac:dyDescent="0.25">
      <c r="A898" s="208"/>
      <c r="B898" s="208"/>
      <c r="C898" s="208"/>
      <c r="D898" s="208" t="s">
        <v>971</v>
      </c>
      <c r="E898" s="208"/>
      <c r="F898" s="208"/>
      <c r="G898" s="208"/>
      <c r="H898" s="208"/>
      <c r="I898" s="208"/>
      <c r="J898" s="616"/>
    </row>
    <row r="899" spans="1:13" x14ac:dyDescent="0.25">
      <c r="A899" s="793" t="s">
        <v>23</v>
      </c>
      <c r="B899" s="793" t="s">
        <v>941</v>
      </c>
      <c r="C899" s="793" t="s">
        <v>24</v>
      </c>
      <c r="D899" s="793" t="s">
        <v>942</v>
      </c>
      <c r="E899" s="793"/>
      <c r="F899" s="793"/>
      <c r="G899" s="793"/>
      <c r="H899" s="793"/>
      <c r="I899" s="793"/>
      <c r="J899" s="792" t="s">
        <v>943</v>
      </c>
    </row>
    <row r="900" spans="1:13" x14ac:dyDescent="0.25">
      <c r="A900" s="793"/>
      <c r="B900" s="793"/>
      <c r="C900" s="793"/>
      <c r="D900" s="793" t="s">
        <v>1</v>
      </c>
      <c r="E900" s="793" t="s">
        <v>2</v>
      </c>
      <c r="F900" s="793"/>
      <c r="G900" s="793"/>
      <c r="H900" s="793"/>
      <c r="I900" s="793"/>
      <c r="J900" s="792"/>
    </row>
    <row r="901" spans="1:13" ht="57.75" customHeight="1" x14ac:dyDescent="0.25">
      <c r="A901" s="793"/>
      <c r="B901" s="793"/>
      <c r="C901" s="793"/>
      <c r="D901" s="793"/>
      <c r="E901" s="418" t="s">
        <v>25</v>
      </c>
      <c r="F901" s="418" t="s">
        <v>571</v>
      </c>
      <c r="G901" s="418" t="s">
        <v>944</v>
      </c>
      <c r="H901" s="418" t="s">
        <v>26</v>
      </c>
      <c r="I901" s="418" t="s">
        <v>945</v>
      </c>
      <c r="J901" s="792"/>
    </row>
    <row r="902" spans="1:13" x14ac:dyDescent="0.25">
      <c r="A902" s="415">
        <v>1</v>
      </c>
      <c r="B902" s="415">
        <v>2</v>
      </c>
      <c r="C902" s="415">
        <v>3</v>
      </c>
      <c r="D902" s="415">
        <v>4</v>
      </c>
      <c r="E902" s="415">
        <v>5</v>
      </c>
      <c r="F902" s="415">
        <v>6</v>
      </c>
      <c r="G902" s="415">
        <v>7</v>
      </c>
      <c r="H902" s="415">
        <v>8</v>
      </c>
      <c r="I902" s="415">
        <v>9</v>
      </c>
      <c r="J902" s="617">
        <v>10</v>
      </c>
    </row>
    <row r="903" spans="1:13" x14ac:dyDescent="0.25">
      <c r="A903" s="576">
        <v>1</v>
      </c>
      <c r="B903" s="627" t="s">
        <v>963</v>
      </c>
      <c r="C903" s="625">
        <v>2</v>
      </c>
      <c r="D903" s="632">
        <f>80053-7783.48</f>
        <v>72269.52</v>
      </c>
      <c r="E903" s="619">
        <v>12530.2</v>
      </c>
      <c r="F903" s="619">
        <v>4312.72</v>
      </c>
      <c r="G903" s="619">
        <v>2893.8</v>
      </c>
      <c r="H903" s="417">
        <f>ROUND(D903/2.3-E903-F903-G903,2)</f>
        <v>11684.81</v>
      </c>
      <c r="I903" s="416">
        <f>ROUND((E903+F903+G903+H903)*1.3,2)</f>
        <v>40847.99</v>
      </c>
      <c r="J903" s="620">
        <f>D903/C903</f>
        <v>36134.76</v>
      </c>
    </row>
    <row r="904" spans="1:13" ht="26.25" x14ac:dyDescent="0.25">
      <c r="A904" s="576">
        <v>2</v>
      </c>
      <c r="B904" s="627" t="s">
        <v>962</v>
      </c>
      <c r="C904" s="631">
        <v>0.125</v>
      </c>
      <c r="D904" s="618">
        <v>3300</v>
      </c>
      <c r="E904" s="619">
        <v>585.88</v>
      </c>
      <c r="F904" s="619">
        <v>146.47</v>
      </c>
      <c r="G904" s="624">
        <v>0</v>
      </c>
      <c r="H904" s="417">
        <f>ROUND(D904/2.3-E904-F904-G904,2)</f>
        <v>702.43</v>
      </c>
      <c r="I904" s="416">
        <f>ROUND((E904+F904+G904+H904)*1.3,2)</f>
        <v>1865.21</v>
      </c>
      <c r="J904" s="620">
        <f>D904/C904</f>
        <v>26400</v>
      </c>
    </row>
    <row r="905" spans="1:13" x14ac:dyDescent="0.25">
      <c r="A905" s="576">
        <v>3</v>
      </c>
      <c r="B905" s="627" t="s">
        <v>961</v>
      </c>
      <c r="C905" s="625">
        <v>0.25</v>
      </c>
      <c r="D905" s="618">
        <v>6600</v>
      </c>
      <c r="E905" s="619">
        <v>1171.75</v>
      </c>
      <c r="F905" s="619">
        <v>292.94</v>
      </c>
      <c r="G905" s="624">
        <v>58.59</v>
      </c>
      <c r="H905" s="417">
        <f>ROUND(D905/2.3-E905-F905-G905,2)</f>
        <v>1346.29</v>
      </c>
      <c r="I905" s="416">
        <f>ROUND((E905+F905+G905+H905)*1.3,2)</f>
        <v>3730.44</v>
      </c>
      <c r="J905" s="620">
        <f>D905/C905</f>
        <v>26400</v>
      </c>
    </row>
    <row r="906" spans="1:13" x14ac:dyDescent="0.25">
      <c r="A906" s="576"/>
      <c r="B906" s="576" t="s">
        <v>344</v>
      </c>
      <c r="C906" s="625">
        <f>SUM(C903:C905)</f>
        <v>2.375</v>
      </c>
      <c r="D906" s="538">
        <f>SUM(D903:D905)</f>
        <v>82169.52</v>
      </c>
      <c r="E906" s="625">
        <f>SUM(E903:E905)</f>
        <v>14287.83</v>
      </c>
      <c r="F906" s="625">
        <f>SUM(F904:F905)</f>
        <v>439.40999999999997</v>
      </c>
      <c r="G906" s="625">
        <f>SUM(G903:G905)</f>
        <v>2952.3900000000003</v>
      </c>
      <c r="H906" s="415">
        <f>SUM(H903:H905)</f>
        <v>13733.529999999999</v>
      </c>
      <c r="I906" s="617">
        <f>SUM(I903:I905)</f>
        <v>46443.64</v>
      </c>
      <c r="J906" s="620">
        <f>D906/C906</f>
        <v>34597.692631578946</v>
      </c>
      <c r="K906" s="645"/>
      <c r="M906" s="645"/>
    </row>
    <row r="907" spans="1:13" x14ac:dyDescent="0.25">
      <c r="A907" s="576"/>
      <c r="B907" s="576" t="s">
        <v>950</v>
      </c>
      <c r="C907" s="625"/>
      <c r="D907" s="626">
        <f>D906*12+0.05</f>
        <v>986034.29</v>
      </c>
      <c r="E907" s="625"/>
      <c r="F907" s="625"/>
      <c r="G907" s="625"/>
      <c r="H907" s="415"/>
      <c r="I907" s="617"/>
      <c r="J907" s="250"/>
    </row>
    <row r="911" spans="1:13" ht="18.75" x14ac:dyDescent="0.3">
      <c r="A911" s="470" t="s">
        <v>915</v>
      </c>
      <c r="B911" s="208"/>
      <c r="C911" s="208"/>
      <c r="D911" s="574" t="s">
        <v>709</v>
      </c>
      <c r="E911" s="437"/>
      <c r="F911" s="437"/>
      <c r="G911" s="437"/>
      <c r="H911" s="437"/>
      <c r="I911" s="441"/>
      <c r="J911" s="11"/>
    </row>
    <row r="912" spans="1:13" ht="18.75" x14ac:dyDescent="0.3">
      <c r="A912" s="435" t="s">
        <v>675</v>
      </c>
      <c r="B912" s="435"/>
      <c r="C912" s="435"/>
      <c r="D912" s="503" t="s">
        <v>940</v>
      </c>
      <c r="E912" s="439"/>
      <c r="F912" s="439"/>
      <c r="G912" s="439"/>
      <c r="H912" s="439"/>
      <c r="I912" s="440"/>
      <c r="J912" s="616"/>
    </row>
    <row r="913" spans="1:11" ht="18.75" x14ac:dyDescent="0.3">
      <c r="A913" s="470" t="s">
        <v>677</v>
      </c>
      <c r="B913" s="470"/>
      <c r="C913" s="470"/>
      <c r="D913" s="578" t="s">
        <v>684</v>
      </c>
      <c r="E913" s="472"/>
      <c r="F913" s="472"/>
      <c r="G913" s="472"/>
      <c r="H913" s="472"/>
      <c r="I913" s="441"/>
      <c r="J913" s="440"/>
    </row>
    <row r="914" spans="1:11" ht="18.75" x14ac:dyDescent="0.3">
      <c r="A914" s="470"/>
      <c r="B914" s="470"/>
      <c r="C914" s="470"/>
      <c r="D914" s="578"/>
      <c r="E914" s="472"/>
      <c r="F914" s="472"/>
      <c r="G914" s="472"/>
      <c r="H914" s="472"/>
      <c r="I914" s="441"/>
      <c r="J914" s="616"/>
    </row>
    <row r="915" spans="1:11" x14ac:dyDescent="0.25">
      <c r="A915" s="793" t="s">
        <v>23</v>
      </c>
      <c r="B915" s="793" t="s">
        <v>941</v>
      </c>
      <c r="C915" s="793" t="s">
        <v>24</v>
      </c>
      <c r="D915" s="793" t="s">
        <v>942</v>
      </c>
      <c r="E915" s="793"/>
      <c r="F915" s="793"/>
      <c r="G915" s="793"/>
      <c r="H915" s="793"/>
      <c r="I915" s="793"/>
      <c r="J915" s="792" t="s">
        <v>943</v>
      </c>
    </row>
    <row r="916" spans="1:11" x14ac:dyDescent="0.25">
      <c r="A916" s="793"/>
      <c r="B916" s="793"/>
      <c r="C916" s="793"/>
      <c r="D916" s="793" t="s">
        <v>1</v>
      </c>
      <c r="E916" s="793" t="s">
        <v>2</v>
      </c>
      <c r="F916" s="793"/>
      <c r="G916" s="793"/>
      <c r="H916" s="793"/>
      <c r="I916" s="793"/>
      <c r="J916" s="792"/>
    </row>
    <row r="917" spans="1:11" ht="57" customHeight="1" x14ac:dyDescent="0.25">
      <c r="A917" s="793"/>
      <c r="B917" s="793"/>
      <c r="C917" s="793"/>
      <c r="D917" s="793"/>
      <c r="E917" s="418" t="s">
        <v>25</v>
      </c>
      <c r="F917" s="418" t="s">
        <v>571</v>
      </c>
      <c r="G917" s="418" t="s">
        <v>944</v>
      </c>
      <c r="H917" s="418" t="s">
        <v>26</v>
      </c>
      <c r="I917" s="418" t="s">
        <v>945</v>
      </c>
      <c r="J917" s="792"/>
    </row>
    <row r="918" spans="1:11" x14ac:dyDescent="0.25">
      <c r="A918" s="415">
        <v>1</v>
      </c>
      <c r="B918" s="415">
        <v>2</v>
      </c>
      <c r="C918" s="415">
        <v>3</v>
      </c>
      <c r="D918" s="415">
        <v>4</v>
      </c>
      <c r="E918" s="415">
        <v>5</v>
      </c>
      <c r="F918" s="415">
        <v>6</v>
      </c>
      <c r="G918" s="415">
        <v>7</v>
      </c>
      <c r="H918" s="415">
        <v>8</v>
      </c>
      <c r="I918" s="415">
        <v>9</v>
      </c>
      <c r="J918" s="617">
        <v>10</v>
      </c>
    </row>
    <row r="919" spans="1:11" x14ac:dyDescent="0.25">
      <c r="A919" s="576">
        <v>1</v>
      </c>
      <c r="B919" s="576" t="s">
        <v>946</v>
      </c>
      <c r="C919" s="415">
        <v>1</v>
      </c>
      <c r="D919" s="618">
        <v>65000</v>
      </c>
      <c r="E919" s="619">
        <v>13662</v>
      </c>
      <c r="F919" s="619">
        <v>3961.98</v>
      </c>
      <c r="G919" s="619">
        <v>2611.2006999999999</v>
      </c>
      <c r="H919" s="619">
        <v>7525</v>
      </c>
      <c r="I919" s="416">
        <f t="shared" ref="I919:I922" si="18">ROUND((E919+F919+G919+H919)*1.3,2)</f>
        <v>36088.230000000003</v>
      </c>
      <c r="J919" s="620">
        <f>D919/C919</f>
        <v>65000</v>
      </c>
    </row>
    <row r="920" spans="1:11" ht="45" x14ac:dyDescent="0.25">
      <c r="A920" s="576">
        <v>2</v>
      </c>
      <c r="B920" s="621" t="s">
        <v>947</v>
      </c>
      <c r="C920" s="415">
        <v>1</v>
      </c>
      <c r="D920" s="622">
        <v>41980</v>
      </c>
      <c r="E920" s="619">
        <v>9563</v>
      </c>
      <c r="F920" s="619">
        <v>2773.27</v>
      </c>
      <c r="G920" s="619">
        <v>456.964</v>
      </c>
      <c r="H920" s="619">
        <v>4630</v>
      </c>
      <c r="I920" s="416">
        <f t="shared" si="18"/>
        <v>22650.2</v>
      </c>
      <c r="J920" s="623">
        <f t="shared" ref="J920:J923" si="19">D920/C920</f>
        <v>41980</v>
      </c>
    </row>
    <row r="921" spans="1:11" ht="45" x14ac:dyDescent="0.25">
      <c r="A921" s="576">
        <v>3</v>
      </c>
      <c r="B921" s="576" t="s">
        <v>948</v>
      </c>
      <c r="C921" s="415">
        <v>1</v>
      </c>
      <c r="D921" s="618">
        <v>41300</v>
      </c>
      <c r="E921" s="619">
        <v>9563</v>
      </c>
      <c r="F921" s="619">
        <v>2390.75</v>
      </c>
      <c r="G921" s="624">
        <v>1370.88</v>
      </c>
      <c r="H921" s="619">
        <v>3550.0010000000002</v>
      </c>
      <c r="I921" s="416">
        <f t="shared" si="18"/>
        <v>21937.02</v>
      </c>
      <c r="J921" s="623">
        <f t="shared" si="19"/>
        <v>41300</v>
      </c>
    </row>
    <row r="922" spans="1:11" x14ac:dyDescent="0.25">
      <c r="A922" s="576">
        <v>4</v>
      </c>
      <c r="B922" s="576" t="s">
        <v>949</v>
      </c>
      <c r="C922" s="415">
        <v>0.5</v>
      </c>
      <c r="D922" s="618">
        <v>12712</v>
      </c>
      <c r="E922" s="619">
        <v>1990.5</v>
      </c>
      <c r="F922" s="619">
        <v>497.63</v>
      </c>
      <c r="G922" s="624">
        <v>95.7</v>
      </c>
      <c r="H922" s="619">
        <v>2216.8429999999998</v>
      </c>
      <c r="I922" s="416">
        <f t="shared" si="18"/>
        <v>6240.87</v>
      </c>
      <c r="J922" s="620">
        <f t="shared" si="19"/>
        <v>25424</v>
      </c>
    </row>
    <row r="923" spans="1:11" x14ac:dyDescent="0.25">
      <c r="A923" s="576"/>
      <c r="B923" s="576" t="s">
        <v>344</v>
      </c>
      <c r="C923" s="415">
        <f t="shared" ref="C923:I923" si="20">SUM(C919:C922)</f>
        <v>3.5</v>
      </c>
      <c r="D923" s="538">
        <f t="shared" si="20"/>
        <v>160992</v>
      </c>
      <c r="E923" s="625">
        <f t="shared" si="20"/>
        <v>34778.5</v>
      </c>
      <c r="F923" s="625">
        <f t="shared" si="20"/>
        <v>9623.6299999999992</v>
      </c>
      <c r="G923" s="415">
        <f t="shared" si="20"/>
        <v>4534.7447000000002</v>
      </c>
      <c r="H923" s="415">
        <f t="shared" si="20"/>
        <v>17921.844000000001</v>
      </c>
      <c r="I923" s="617">
        <f t="shared" si="20"/>
        <v>86916.32</v>
      </c>
      <c r="J923" s="620">
        <f t="shared" si="19"/>
        <v>45997.714285714283</v>
      </c>
    </row>
    <row r="924" spans="1:11" x14ac:dyDescent="0.25">
      <c r="A924" s="576"/>
      <c r="B924" s="576" t="s">
        <v>950</v>
      </c>
      <c r="C924" s="415"/>
      <c r="D924" s="626">
        <f>ROUND(D923*12,0)+54.52</f>
        <v>1931958.52</v>
      </c>
      <c r="E924" s="415"/>
      <c r="F924" s="415"/>
      <c r="G924" s="415"/>
      <c r="H924" s="415"/>
      <c r="I924" s="617"/>
      <c r="J924" s="250"/>
    </row>
    <row r="928" spans="1:11" x14ac:dyDescent="0.25">
      <c r="A928" s="208"/>
      <c r="B928" s="208"/>
      <c r="C928" s="208"/>
      <c r="D928" s="208"/>
      <c r="E928" s="208"/>
      <c r="F928" s="208"/>
      <c r="G928" s="208"/>
      <c r="H928" s="846"/>
      <c r="I928" s="846"/>
      <c r="J928" s="846"/>
      <c r="K928" s="208"/>
    </row>
    <row r="929" spans="1:11" x14ac:dyDescent="0.25">
      <c r="A929" s="208"/>
      <c r="B929" s="208"/>
      <c r="C929" s="208"/>
      <c r="D929" s="208"/>
      <c r="E929" s="208"/>
      <c r="F929" s="642"/>
      <c r="G929" s="642"/>
      <c r="H929" s="846"/>
      <c r="I929" s="846"/>
      <c r="J929" s="846"/>
      <c r="K929" s="208"/>
    </row>
    <row r="930" spans="1:11" x14ac:dyDescent="0.25">
      <c r="A930" s="208"/>
      <c r="B930" s="208"/>
      <c r="C930" s="208"/>
      <c r="D930" s="208"/>
      <c r="E930" s="208"/>
      <c r="F930" s="642"/>
      <c r="G930" s="642"/>
      <c r="H930" s="846"/>
      <c r="I930" s="846"/>
      <c r="J930" s="846"/>
      <c r="K930" s="208"/>
    </row>
    <row r="931" spans="1:11" x14ac:dyDescent="0.25">
      <c r="A931" s="208"/>
      <c r="B931" s="208"/>
      <c r="C931" s="208"/>
      <c r="D931" s="208"/>
      <c r="E931" s="208"/>
      <c r="F931" s="208"/>
      <c r="G931" s="208"/>
      <c r="H931" s="846"/>
      <c r="I931" s="846"/>
      <c r="J931" s="846"/>
      <c r="K931" s="643"/>
    </row>
    <row r="932" spans="1:11" x14ac:dyDescent="0.25">
      <c r="A932" s="208"/>
      <c r="B932" s="208"/>
      <c r="C932" s="208"/>
      <c r="D932" s="208"/>
      <c r="E932" s="208"/>
      <c r="F932" s="208"/>
      <c r="G932" s="208"/>
      <c r="H932" s="208"/>
      <c r="I932" s="208"/>
      <c r="J932" s="11"/>
      <c r="K932" s="208"/>
    </row>
    <row r="933" spans="1:11" x14ac:dyDescent="0.25">
      <c r="A933" s="208"/>
      <c r="B933" s="208"/>
      <c r="C933" s="208"/>
      <c r="D933" s="208"/>
      <c r="E933" s="208"/>
      <c r="F933" s="208"/>
      <c r="G933" s="208"/>
      <c r="H933" s="208"/>
      <c r="I933" s="208"/>
      <c r="J933" s="11"/>
      <c r="K933" s="208"/>
    </row>
    <row r="934" spans="1:11" x14ac:dyDescent="0.25">
      <c r="A934" s="841" t="s">
        <v>967</v>
      </c>
      <c r="B934" s="841"/>
      <c r="C934" s="841"/>
      <c r="D934" s="841"/>
      <c r="E934" s="841"/>
      <c r="F934" s="841"/>
      <c r="G934" s="841"/>
      <c r="H934" s="841"/>
      <c r="I934" s="841"/>
      <c r="J934" s="841"/>
      <c r="K934" s="841"/>
    </row>
    <row r="935" spans="1:11" x14ac:dyDescent="0.25">
      <c r="A935" s="841"/>
      <c r="B935" s="841"/>
      <c r="C935" s="841"/>
      <c r="D935" s="841"/>
      <c r="E935" s="841"/>
      <c r="F935" s="841"/>
      <c r="G935" s="841"/>
      <c r="H935" s="841"/>
      <c r="I935" s="841"/>
      <c r="J935" s="841"/>
      <c r="K935" s="841"/>
    </row>
    <row r="936" spans="1:11" ht="18.75" x14ac:dyDescent="0.3">
      <c r="A936" s="611"/>
      <c r="B936" s="611"/>
      <c r="C936" s="611"/>
      <c r="D936" s="611"/>
      <c r="E936" s="611"/>
      <c r="F936" s="611"/>
      <c r="G936" s="611"/>
      <c r="H936" s="611"/>
      <c r="I936" s="611"/>
      <c r="J936" s="611"/>
      <c r="K936" s="611"/>
    </row>
    <row r="937" spans="1:11" ht="18.75" x14ac:dyDescent="0.3">
      <c r="A937" s="842" t="s">
        <v>968</v>
      </c>
      <c r="B937" s="842"/>
      <c r="C937" s="842"/>
      <c r="D937" s="842"/>
      <c r="E937" s="842"/>
      <c r="F937" s="842"/>
      <c r="G937" s="842"/>
      <c r="H937" s="842"/>
      <c r="I937" s="842"/>
      <c r="J937" s="11"/>
      <c r="K937" s="208"/>
    </row>
    <row r="938" spans="1:11" ht="18.75" x14ac:dyDescent="0.3">
      <c r="A938" s="208"/>
      <c r="B938" s="208"/>
      <c r="C938" s="842" t="s">
        <v>969</v>
      </c>
      <c r="D938" s="842"/>
      <c r="E938" s="842"/>
      <c r="F938" s="842"/>
      <c r="G938" s="842"/>
      <c r="H938" s="842"/>
      <c r="I938" s="470"/>
      <c r="J938" s="470"/>
      <c r="K938" s="208"/>
    </row>
    <row r="939" spans="1:11" ht="18.75" x14ac:dyDescent="0.3">
      <c r="A939" s="438"/>
      <c r="B939" s="438"/>
      <c r="C939" s="438"/>
      <c r="D939" s="438"/>
      <c r="E939" s="438"/>
      <c r="F939" s="438"/>
      <c r="G939" s="438"/>
      <c r="H939" s="438"/>
      <c r="I939" s="438"/>
      <c r="J939" s="11"/>
      <c r="K939" s="208"/>
    </row>
    <row r="940" spans="1:11" ht="18.75" x14ac:dyDescent="0.3">
      <c r="A940" s="470" t="s">
        <v>915</v>
      </c>
      <c r="B940" s="208"/>
      <c r="C940" s="208"/>
      <c r="D940" s="574" t="s">
        <v>682</v>
      </c>
      <c r="E940" s="437"/>
      <c r="F940" s="437"/>
      <c r="G940" s="437"/>
      <c r="H940" s="437"/>
      <c r="I940" s="441"/>
      <c r="J940" s="616"/>
      <c r="K940" s="441"/>
    </row>
    <row r="941" spans="1:11" ht="18.75" x14ac:dyDescent="0.3">
      <c r="A941" s="435" t="s">
        <v>675</v>
      </c>
      <c r="B941" s="435"/>
      <c r="C941" s="435"/>
      <c r="D941" s="503" t="s">
        <v>940</v>
      </c>
      <c r="E941" s="439"/>
      <c r="F941" s="439"/>
      <c r="G941" s="439"/>
      <c r="H941" s="439"/>
      <c r="I941" s="440"/>
      <c r="J941" s="440"/>
      <c r="K941" s="440"/>
    </row>
    <row r="942" spans="1:11" ht="18.75" x14ac:dyDescent="0.3">
      <c r="A942" s="470" t="s">
        <v>677</v>
      </c>
      <c r="B942" s="470"/>
      <c r="C942" s="470"/>
      <c r="D942" s="578" t="s">
        <v>684</v>
      </c>
      <c r="E942" s="472"/>
      <c r="F942" s="472"/>
      <c r="G942" s="472"/>
      <c r="H942" s="472"/>
      <c r="I942" s="441"/>
      <c r="J942" s="616"/>
      <c r="K942" s="441"/>
    </row>
    <row r="943" spans="1:11" ht="18.75" x14ac:dyDescent="0.3">
      <c r="A943" s="470"/>
      <c r="B943" s="470"/>
      <c r="C943" s="470"/>
      <c r="D943" s="578" t="s">
        <v>971</v>
      </c>
      <c r="E943" s="472"/>
      <c r="F943" s="472"/>
      <c r="G943" s="472"/>
      <c r="H943" s="472"/>
      <c r="I943" s="441"/>
      <c r="J943" s="616"/>
      <c r="K943" s="441"/>
    </row>
    <row r="944" spans="1:11" x14ac:dyDescent="0.25">
      <c r="A944" s="793" t="s">
        <v>23</v>
      </c>
      <c r="B944" s="793" t="s">
        <v>941</v>
      </c>
      <c r="C944" s="793" t="s">
        <v>24</v>
      </c>
      <c r="D944" s="793" t="s">
        <v>942</v>
      </c>
      <c r="E944" s="793"/>
      <c r="F944" s="793"/>
      <c r="G944" s="793"/>
      <c r="H944" s="793"/>
      <c r="I944" s="793"/>
      <c r="J944" s="792" t="s">
        <v>943</v>
      </c>
      <c r="K944" s="208"/>
    </row>
    <row r="945" spans="1:11" x14ac:dyDescent="0.25">
      <c r="A945" s="793"/>
      <c r="B945" s="793"/>
      <c r="C945" s="793"/>
      <c r="D945" s="793" t="s">
        <v>1</v>
      </c>
      <c r="E945" s="793" t="s">
        <v>2</v>
      </c>
      <c r="F945" s="793"/>
      <c r="G945" s="793"/>
      <c r="H945" s="793"/>
      <c r="I945" s="793"/>
      <c r="J945" s="792"/>
      <c r="K945" s="208"/>
    </row>
    <row r="946" spans="1:11" ht="42.75" customHeight="1" x14ac:dyDescent="0.25">
      <c r="A946" s="793"/>
      <c r="B946" s="793"/>
      <c r="C946" s="793"/>
      <c r="D946" s="793"/>
      <c r="E946" s="635" t="s">
        <v>25</v>
      </c>
      <c r="F946" s="635" t="s">
        <v>571</v>
      </c>
      <c r="G946" s="635" t="s">
        <v>944</v>
      </c>
      <c r="H946" s="635" t="s">
        <v>26</v>
      </c>
      <c r="I946" s="635" t="s">
        <v>945</v>
      </c>
      <c r="J946" s="792"/>
      <c r="K946" s="208"/>
    </row>
    <row r="947" spans="1:11" x14ac:dyDescent="0.25">
      <c r="A947" s="633">
        <v>1</v>
      </c>
      <c r="B947" s="633">
        <v>2</v>
      </c>
      <c r="C947" s="633">
        <v>3</v>
      </c>
      <c r="D947" s="633">
        <v>4</v>
      </c>
      <c r="E947" s="633">
        <v>5</v>
      </c>
      <c r="F947" s="633">
        <v>6</v>
      </c>
      <c r="G947" s="633">
        <v>7</v>
      </c>
      <c r="H947" s="633">
        <v>8</v>
      </c>
      <c r="I947" s="633">
        <v>9</v>
      </c>
      <c r="J947" s="617">
        <v>10</v>
      </c>
      <c r="K947" s="208"/>
    </row>
    <row r="948" spans="1:11" x14ac:dyDescent="0.25">
      <c r="A948" s="637">
        <v>1</v>
      </c>
      <c r="B948" s="637" t="s">
        <v>970</v>
      </c>
      <c r="C948" s="633">
        <v>1.3</v>
      </c>
      <c r="D948" s="538">
        <v>38898.519999999997</v>
      </c>
      <c r="E948" s="619">
        <v>3499</v>
      </c>
      <c r="F948" s="619">
        <f>545.84+2629.82</f>
        <v>3175.6600000000003</v>
      </c>
      <c r="G948" s="619">
        <v>0</v>
      </c>
      <c r="H948" s="619">
        <f t="shared" ref="H948" si="21">ROUND(D948/2.3-E948-F948-G948,2)</f>
        <v>10237.74</v>
      </c>
      <c r="I948" s="634">
        <v>4075.64</v>
      </c>
      <c r="J948" s="620">
        <f>D948/C948</f>
        <v>29921.938461538459</v>
      </c>
      <c r="K948" s="208"/>
    </row>
    <row r="949" spans="1:11" x14ac:dyDescent="0.25">
      <c r="A949" s="637"/>
      <c r="B949" s="637" t="s">
        <v>972</v>
      </c>
      <c r="C949" s="633">
        <f>SUM(C948:C948)</f>
        <v>1.3</v>
      </c>
      <c r="D949" s="538">
        <v>38898.519999999997</v>
      </c>
      <c r="E949" s="625">
        <f>SUM(E948:E948)</f>
        <v>3499</v>
      </c>
      <c r="F949" s="625">
        <f t="shared" ref="F949:I949" si="22">SUM(F948:F948)</f>
        <v>3175.6600000000003</v>
      </c>
      <c r="G949" s="625">
        <f t="shared" si="22"/>
        <v>0</v>
      </c>
      <c r="H949" s="625">
        <f t="shared" si="22"/>
        <v>10237.74</v>
      </c>
      <c r="I949" s="625">
        <f t="shared" si="22"/>
        <v>4075.64</v>
      </c>
      <c r="J949" s="620">
        <f>D949/C949</f>
        <v>29921.938461538459</v>
      </c>
      <c r="K949" s="208"/>
    </row>
    <row r="950" spans="1:11" x14ac:dyDescent="0.25">
      <c r="A950" s="637"/>
      <c r="B950" s="637" t="s">
        <v>950</v>
      </c>
      <c r="C950" s="633"/>
      <c r="D950" s="626">
        <v>466782.33</v>
      </c>
      <c r="E950" s="633"/>
      <c r="F950" s="633"/>
      <c r="G950" s="633"/>
      <c r="H950" s="633"/>
      <c r="I950" s="617"/>
      <c r="J950" s="250"/>
      <c r="K950" s="208"/>
    </row>
    <row r="953" spans="1:11" x14ac:dyDescent="0.25">
      <c r="G953" s="644"/>
    </row>
    <row r="963" spans="1:6" ht="18.75" x14ac:dyDescent="0.3">
      <c r="A963" s="444" t="s">
        <v>975</v>
      </c>
      <c r="B963" s="435"/>
      <c r="C963" s="435"/>
      <c r="D963" s="435"/>
      <c r="E963" s="208"/>
      <c r="F963" s="208"/>
    </row>
    <row r="964" spans="1:6" ht="18.75" x14ac:dyDescent="0.3">
      <c r="A964" s="208"/>
      <c r="B964" s="798" t="s">
        <v>730</v>
      </c>
      <c r="C964" s="798"/>
      <c r="D964" s="208"/>
      <c r="E964" s="208"/>
      <c r="F964" s="208"/>
    </row>
    <row r="965" spans="1:6" ht="18.75" x14ac:dyDescent="0.3">
      <c r="A965" s="208"/>
      <c r="B965" s="843" t="s">
        <v>977</v>
      </c>
      <c r="C965" s="843"/>
      <c r="D965" s="208"/>
      <c r="E965" s="208"/>
      <c r="F965" s="208"/>
    </row>
    <row r="966" spans="1:6" x14ac:dyDescent="0.25">
      <c r="A966" s="811" t="s">
        <v>23</v>
      </c>
      <c r="B966" s="801" t="s">
        <v>30</v>
      </c>
      <c r="C966" s="801" t="s">
        <v>75</v>
      </c>
      <c r="D966" s="801" t="s">
        <v>76</v>
      </c>
      <c r="E966" s="208"/>
      <c r="F966" s="208"/>
    </row>
    <row r="967" spans="1:6" x14ac:dyDescent="0.25">
      <c r="A967" s="813"/>
      <c r="B967" s="801"/>
      <c r="C967" s="801"/>
      <c r="D967" s="801"/>
      <c r="E967" s="208"/>
      <c r="F967" s="208"/>
    </row>
    <row r="968" spans="1:6" x14ac:dyDescent="0.25">
      <c r="A968" s="640">
        <v>1</v>
      </c>
      <c r="B968" s="640">
        <v>2</v>
      </c>
      <c r="C968" s="640">
        <v>3</v>
      </c>
      <c r="D968" s="640">
        <v>4</v>
      </c>
      <c r="E968" s="208"/>
      <c r="F968" s="208"/>
    </row>
    <row r="969" spans="1:6" ht="25.5" x14ac:dyDescent="0.25">
      <c r="A969" s="641">
        <v>1</v>
      </c>
      <c r="B969" s="641" t="s">
        <v>691</v>
      </c>
      <c r="C969" s="641">
        <v>1</v>
      </c>
      <c r="D969" s="448">
        <f>3000*12</f>
        <v>36000</v>
      </c>
      <c r="E969" s="208"/>
      <c r="F969" s="208"/>
    </row>
    <row r="970" spans="1:6" ht="25.5" x14ac:dyDescent="0.25">
      <c r="A970" s="641">
        <v>2</v>
      </c>
      <c r="B970" s="641" t="s">
        <v>722</v>
      </c>
      <c r="C970" s="641">
        <v>2</v>
      </c>
      <c r="D970" s="448">
        <f>8250*2</f>
        <v>16500</v>
      </c>
      <c r="E970" s="208"/>
      <c r="F970" s="208"/>
    </row>
    <row r="971" spans="1:6" ht="25.5" x14ac:dyDescent="0.25">
      <c r="A971" s="641">
        <v>3</v>
      </c>
      <c r="B971" s="641" t="s">
        <v>723</v>
      </c>
      <c r="C971" s="641">
        <v>1</v>
      </c>
      <c r="D971" s="448">
        <v>18000</v>
      </c>
      <c r="E971" s="208"/>
      <c r="F971" s="208"/>
    </row>
    <row r="972" spans="1:6" ht="38.25" x14ac:dyDescent="0.25">
      <c r="A972" s="641">
        <v>4</v>
      </c>
      <c r="B972" s="641" t="s">
        <v>692</v>
      </c>
      <c r="C972" s="641">
        <v>3</v>
      </c>
      <c r="D972" s="448">
        <f>3000*C972</f>
        <v>9000</v>
      </c>
      <c r="E972" s="208"/>
      <c r="F972" s="208"/>
    </row>
    <row r="973" spans="1:6" ht="38.25" x14ac:dyDescent="0.25">
      <c r="A973" s="641">
        <v>5</v>
      </c>
      <c r="B973" s="641" t="s">
        <v>976</v>
      </c>
      <c r="C973" s="641">
        <v>1</v>
      </c>
      <c r="D973" s="448">
        <v>10500</v>
      </c>
      <c r="E973" s="208"/>
      <c r="F973" s="208"/>
    </row>
    <row r="974" spans="1:6" x14ac:dyDescent="0.25">
      <c r="A974" s="797" t="s">
        <v>344</v>
      </c>
      <c r="B974" s="797"/>
      <c r="C974" s="641"/>
      <c r="D974" s="448">
        <f>SUM(D969:D973)</f>
        <v>90000</v>
      </c>
      <c r="E974" s="481"/>
      <c r="F974" s="208"/>
    </row>
    <row r="994" spans="1:6" ht="18.75" x14ac:dyDescent="0.3">
      <c r="A994" s="444" t="s">
        <v>804</v>
      </c>
      <c r="B994" s="435"/>
      <c r="C994" s="435"/>
      <c r="D994" s="435"/>
      <c r="E994" s="208"/>
      <c r="F994" s="208"/>
    </row>
    <row r="995" spans="1:6" ht="18.75" x14ac:dyDescent="0.3">
      <c r="A995" s="444"/>
      <c r="B995" s="435"/>
      <c r="C995" s="435"/>
      <c r="D995" s="435"/>
      <c r="E995" s="208"/>
      <c r="F995" s="208"/>
    </row>
    <row r="996" spans="1:6" ht="18.75" x14ac:dyDescent="0.3">
      <c r="A996" s="435" t="s">
        <v>19</v>
      </c>
      <c r="B996" s="435"/>
      <c r="C996" s="840" t="s">
        <v>805</v>
      </c>
      <c r="D996" s="840"/>
      <c r="E996" s="840"/>
      <c r="F996" s="439"/>
    </row>
    <row r="997" spans="1:6" ht="18.75" x14ac:dyDescent="0.3">
      <c r="A997" s="436" t="s">
        <v>675</v>
      </c>
      <c r="B997" s="435"/>
      <c r="C997" s="799" t="s">
        <v>683</v>
      </c>
      <c r="D997" s="799"/>
      <c r="E997" s="799"/>
      <c r="F997" s="799"/>
    </row>
    <row r="998" spans="1:6" ht="18.75" x14ac:dyDescent="0.3">
      <c r="A998" s="800" t="s">
        <v>677</v>
      </c>
      <c r="B998" s="800"/>
      <c r="C998" s="799" t="s">
        <v>774</v>
      </c>
      <c r="D998" s="799"/>
      <c r="E998" s="437"/>
      <c r="F998" s="437"/>
    </row>
    <row r="999" spans="1:6" x14ac:dyDescent="0.25">
      <c r="A999" s="208"/>
      <c r="B999" s="208"/>
      <c r="C999" s="208"/>
      <c r="D999" s="208"/>
      <c r="E999" s="208" t="s">
        <v>978</v>
      </c>
      <c r="F999" s="208"/>
    </row>
    <row r="1000" spans="1:6" x14ac:dyDescent="0.25">
      <c r="A1000" s="811" t="s">
        <v>23</v>
      </c>
      <c r="B1000" s="801" t="s">
        <v>30</v>
      </c>
      <c r="C1000" s="801" t="s">
        <v>75</v>
      </c>
      <c r="D1000" s="801" t="s">
        <v>795</v>
      </c>
      <c r="E1000" s="801" t="s">
        <v>76</v>
      </c>
      <c r="F1000" s="801" t="s">
        <v>31</v>
      </c>
    </row>
    <row r="1001" spans="1:6" x14ac:dyDescent="0.25">
      <c r="A1001" s="813"/>
      <c r="B1001" s="801"/>
      <c r="C1001" s="801"/>
      <c r="D1001" s="801"/>
      <c r="E1001" s="801"/>
      <c r="F1001" s="801"/>
    </row>
    <row r="1002" spans="1:6" x14ac:dyDescent="0.25">
      <c r="A1002" s="640">
        <v>1</v>
      </c>
      <c r="B1002" s="640">
        <v>2</v>
      </c>
      <c r="C1002" s="640">
        <v>3</v>
      </c>
      <c r="D1002" s="640">
        <v>4</v>
      </c>
      <c r="E1002" s="640">
        <v>5</v>
      </c>
      <c r="F1002" s="640">
        <v>6</v>
      </c>
    </row>
    <row r="1003" spans="1:6" ht="30" x14ac:dyDescent="0.25">
      <c r="A1003" s="446">
        <v>1</v>
      </c>
      <c r="B1003" s="639" t="s">
        <v>691</v>
      </c>
      <c r="C1003" s="446">
        <v>1</v>
      </c>
      <c r="D1003" s="448">
        <v>15</v>
      </c>
      <c r="E1003" s="448">
        <v>2666.67</v>
      </c>
      <c r="F1003" s="511">
        <v>40000</v>
      </c>
    </row>
    <row r="1004" spans="1:6" x14ac:dyDescent="0.25">
      <c r="A1004" s="646"/>
      <c r="B1004" s="909" t="s">
        <v>344</v>
      </c>
      <c r="C1004" s="910"/>
      <c r="D1004" s="910"/>
      <c r="E1004" s="911"/>
      <c r="F1004" s="647">
        <f>F1003</f>
        <v>40000</v>
      </c>
    </row>
    <row r="1009" spans="1:7" ht="18.75" x14ac:dyDescent="0.3">
      <c r="A1009" s="435" t="s">
        <v>19</v>
      </c>
      <c r="B1009" s="435"/>
      <c r="C1009" s="798" t="s">
        <v>979</v>
      </c>
      <c r="D1009" s="798"/>
      <c r="E1009" s="798"/>
      <c r="F1009" s="439"/>
      <c r="G1009" s="439"/>
    </row>
    <row r="1010" spans="1:7" ht="18.75" x14ac:dyDescent="0.3">
      <c r="A1010" s="800" t="s">
        <v>677</v>
      </c>
      <c r="B1010" s="800"/>
      <c r="C1010" s="799" t="s">
        <v>684</v>
      </c>
      <c r="D1010" s="799"/>
      <c r="E1010" s="799"/>
      <c r="F1010" s="437"/>
      <c r="G1010" s="437"/>
    </row>
    <row r="1011" spans="1:7" x14ac:dyDescent="0.25">
      <c r="A1011" s="208"/>
      <c r="B1011" s="208"/>
      <c r="C1011" s="208" t="s">
        <v>980</v>
      </c>
      <c r="D1011" s="208"/>
      <c r="E1011" s="208"/>
      <c r="F1011" s="208"/>
      <c r="G1011" s="208"/>
    </row>
    <row r="1012" spans="1:7" x14ac:dyDescent="0.25">
      <c r="A1012" s="811" t="s">
        <v>23</v>
      </c>
      <c r="B1012" s="801" t="s">
        <v>30</v>
      </c>
      <c r="C1012" s="801" t="s">
        <v>75</v>
      </c>
      <c r="D1012" s="811"/>
      <c r="E1012" s="801"/>
      <c r="F1012" s="801"/>
      <c r="G1012" s="801" t="s">
        <v>31</v>
      </c>
    </row>
    <row r="1013" spans="1:7" x14ac:dyDescent="0.25">
      <c r="A1013" s="813"/>
      <c r="B1013" s="801"/>
      <c r="C1013" s="801"/>
      <c r="D1013" s="813"/>
      <c r="E1013" s="801"/>
      <c r="F1013" s="801"/>
      <c r="G1013" s="801"/>
    </row>
    <row r="1014" spans="1:7" x14ac:dyDescent="0.25">
      <c r="A1014" s="640">
        <v>1</v>
      </c>
      <c r="B1014" s="640">
        <v>2</v>
      </c>
      <c r="C1014" s="640">
        <v>3</v>
      </c>
      <c r="D1014" s="640"/>
      <c r="E1014" s="640">
        <v>4</v>
      </c>
      <c r="F1014" s="640">
        <v>5</v>
      </c>
      <c r="G1014" s="640">
        <v>6</v>
      </c>
    </row>
    <row r="1015" spans="1:7" ht="31.5" customHeight="1" x14ac:dyDescent="0.25">
      <c r="A1015" s="640"/>
      <c r="B1015" s="912" t="s">
        <v>981</v>
      </c>
      <c r="C1015" s="913"/>
      <c r="D1015" s="913"/>
      <c r="E1015" s="913"/>
      <c r="F1015" s="914"/>
      <c r="G1015" s="640"/>
    </row>
    <row r="1016" spans="1:7" x14ac:dyDescent="0.25">
      <c r="A1016" s="641"/>
      <c r="B1016" s="794" t="s">
        <v>982</v>
      </c>
      <c r="C1016" s="795"/>
      <c r="D1016" s="795"/>
      <c r="E1016" s="795"/>
      <c r="F1016" s="796"/>
      <c r="G1016" s="448">
        <v>30000</v>
      </c>
    </row>
    <row r="1017" spans="1:7" x14ac:dyDescent="0.25">
      <c r="A1017" s="915" t="s">
        <v>344</v>
      </c>
      <c r="B1017" s="916"/>
      <c r="C1017" s="916"/>
      <c r="D1017" s="916"/>
      <c r="E1017" s="916"/>
      <c r="F1017" s="917"/>
      <c r="G1017" s="448">
        <f>SUM(G1016:G1016)</f>
        <v>30000</v>
      </c>
    </row>
    <row r="1021" spans="1:7" ht="18.75" x14ac:dyDescent="0.3">
      <c r="A1021" s="478" t="s">
        <v>983</v>
      </c>
      <c r="B1021" s="294"/>
      <c r="C1021" s="294"/>
      <c r="D1021" s="294"/>
      <c r="E1021" s="294"/>
      <c r="F1021" s="294"/>
      <c r="G1021" s="208"/>
    </row>
    <row r="1022" spans="1:7" x14ac:dyDescent="0.25">
      <c r="A1022" s="479"/>
      <c r="B1022" s="479"/>
      <c r="C1022" s="479"/>
      <c r="D1022" s="479"/>
      <c r="E1022" s="480"/>
      <c r="F1022" s="208"/>
      <c r="G1022" s="208"/>
    </row>
    <row r="1023" spans="1:7" ht="18.75" x14ac:dyDescent="0.3">
      <c r="A1023" s="435" t="s">
        <v>19</v>
      </c>
      <c r="B1023" s="435"/>
      <c r="C1023" s="798" t="s">
        <v>984</v>
      </c>
      <c r="D1023" s="798"/>
      <c r="E1023" s="439"/>
      <c r="F1023" s="439"/>
      <c r="G1023" s="208"/>
    </row>
    <row r="1024" spans="1:7" ht="18.75" x14ac:dyDescent="0.3">
      <c r="A1024" s="436" t="s">
        <v>675</v>
      </c>
      <c r="B1024" s="435"/>
      <c r="C1024" s="799" t="s">
        <v>683</v>
      </c>
      <c r="D1024" s="799"/>
      <c r="E1024" s="799"/>
      <c r="F1024" s="799"/>
      <c r="G1024" s="208"/>
    </row>
    <row r="1025" spans="1:7" ht="18.75" x14ac:dyDescent="0.3">
      <c r="A1025" s="800" t="s">
        <v>677</v>
      </c>
      <c r="B1025" s="800"/>
      <c r="C1025" s="799" t="s">
        <v>684</v>
      </c>
      <c r="D1025" s="799"/>
      <c r="E1025" s="437"/>
      <c r="F1025" s="437"/>
      <c r="G1025" s="208"/>
    </row>
    <row r="1026" spans="1:7" x14ac:dyDescent="0.25">
      <c r="A1026" s="208"/>
      <c r="B1026" s="208"/>
      <c r="C1026" s="208"/>
      <c r="D1026" s="208"/>
      <c r="E1026" s="208"/>
      <c r="F1026" s="208"/>
      <c r="G1026" s="208"/>
    </row>
    <row r="1027" spans="1:7" x14ac:dyDescent="0.25">
      <c r="A1027" s="872"/>
      <c r="B1027" s="872"/>
      <c r="C1027" s="872"/>
      <c r="D1027" s="872"/>
      <c r="E1027" s="872"/>
      <c r="F1027" s="872"/>
      <c r="G1027" s="208"/>
    </row>
    <row r="1028" spans="1:7" x14ac:dyDescent="0.25">
      <c r="A1028" s="872"/>
      <c r="B1028" s="872"/>
      <c r="C1028" s="872"/>
      <c r="D1028" s="872"/>
      <c r="E1028" s="872"/>
      <c r="F1028" s="872"/>
      <c r="G1028" s="208"/>
    </row>
    <row r="1029" spans="1:7" x14ac:dyDescent="0.25">
      <c r="A1029" s="847" t="s">
        <v>23</v>
      </c>
      <c r="B1029" s="793" t="s">
        <v>30</v>
      </c>
      <c r="C1029" s="793" t="s">
        <v>694</v>
      </c>
      <c r="D1029" s="793" t="s">
        <v>78</v>
      </c>
      <c r="E1029" s="793" t="s">
        <v>695</v>
      </c>
      <c r="F1029" s="208"/>
      <c r="G1029" s="208"/>
    </row>
    <row r="1030" spans="1:7" x14ac:dyDescent="0.25">
      <c r="A1030" s="848"/>
      <c r="B1030" s="793"/>
      <c r="C1030" s="793"/>
      <c r="D1030" s="793"/>
      <c r="E1030" s="793"/>
      <c r="F1030" s="208"/>
      <c r="G1030" s="208"/>
    </row>
    <row r="1031" spans="1:7" x14ac:dyDescent="0.25">
      <c r="A1031" s="638">
        <v>1</v>
      </c>
      <c r="B1031" s="638">
        <v>2</v>
      </c>
      <c r="C1031" s="638">
        <v>3</v>
      </c>
      <c r="D1031" s="638">
        <v>4</v>
      </c>
      <c r="E1031" s="638">
        <v>5</v>
      </c>
      <c r="F1031" s="208"/>
      <c r="G1031" s="208"/>
    </row>
    <row r="1032" spans="1:7" x14ac:dyDescent="0.25">
      <c r="A1032" s="639">
        <v>1</v>
      </c>
      <c r="B1032" s="639" t="s">
        <v>985</v>
      </c>
      <c r="C1032" s="639">
        <v>1</v>
      </c>
      <c r="D1032" s="442">
        <v>40000</v>
      </c>
      <c r="E1032" s="442">
        <v>40000</v>
      </c>
      <c r="F1032" s="208"/>
      <c r="G1032" s="208"/>
    </row>
    <row r="1033" spans="1:7" x14ac:dyDescent="0.25">
      <c r="A1033" s="639">
        <v>2</v>
      </c>
      <c r="B1033" s="639" t="s">
        <v>986</v>
      </c>
      <c r="C1033" s="639">
        <v>1</v>
      </c>
      <c r="D1033" s="442">
        <v>5000</v>
      </c>
      <c r="E1033" s="442">
        <f>ROUND(D1033*C1033,0)</f>
        <v>5000</v>
      </c>
      <c r="F1033" s="208"/>
      <c r="G1033" s="208"/>
    </row>
    <row r="1034" spans="1:7" x14ac:dyDescent="0.25">
      <c r="A1034" s="639">
        <v>3</v>
      </c>
      <c r="B1034" s="639" t="s">
        <v>987</v>
      </c>
      <c r="C1034" s="639">
        <v>10</v>
      </c>
      <c r="D1034" s="442">
        <v>500</v>
      </c>
      <c r="E1034" s="442">
        <f>ROUND(D1034*C1034,0)</f>
        <v>5000</v>
      </c>
      <c r="F1034" s="208"/>
      <c r="G1034" s="208"/>
    </row>
    <row r="1035" spans="1:7" x14ac:dyDescent="0.25">
      <c r="A1035" s="838" t="s">
        <v>344</v>
      </c>
      <c r="B1035" s="838"/>
      <c r="C1035" s="639"/>
      <c r="D1035" s="442"/>
      <c r="E1035" s="442">
        <f>SUM(E1032:E1034)</f>
        <v>50000</v>
      </c>
      <c r="F1035" s="481"/>
      <c r="G1035" s="208"/>
    </row>
    <row r="1040" spans="1:7" ht="18.75" x14ac:dyDescent="0.3">
      <c r="A1040" s="435" t="s">
        <v>19</v>
      </c>
      <c r="B1040" s="435"/>
      <c r="C1040" s="840" t="s">
        <v>994</v>
      </c>
      <c r="D1040" s="840"/>
    </row>
    <row r="1041" spans="1:5" ht="18.75" x14ac:dyDescent="0.3">
      <c r="A1041" s="436" t="s">
        <v>675</v>
      </c>
      <c r="B1041" s="435"/>
      <c r="C1041" s="837" t="s">
        <v>938</v>
      </c>
      <c r="D1041" s="837"/>
      <c r="E1041" s="837"/>
    </row>
    <row r="1042" spans="1:5" ht="18.75" x14ac:dyDescent="0.3">
      <c r="A1042" s="470" t="s">
        <v>677</v>
      </c>
      <c r="B1042" s="470"/>
      <c r="C1042" s="837" t="s">
        <v>684</v>
      </c>
      <c r="D1042" s="837"/>
    </row>
    <row r="1043" spans="1:5" ht="18.75" x14ac:dyDescent="0.3">
      <c r="A1043" s="612"/>
      <c r="B1043" s="612"/>
      <c r="C1043" s="613"/>
      <c r="D1043" s="612"/>
    </row>
    <row r="1044" spans="1:5" x14ac:dyDescent="0.25">
      <c r="A1044" s="208"/>
      <c r="B1044" s="208"/>
      <c r="C1044" s="208"/>
      <c r="D1044" s="208"/>
    </row>
    <row r="1045" spans="1:5" ht="60" x14ac:dyDescent="0.25">
      <c r="A1045" s="700" t="s">
        <v>23</v>
      </c>
      <c r="B1045" s="700" t="s">
        <v>34</v>
      </c>
      <c r="C1045" s="700" t="s">
        <v>35</v>
      </c>
      <c r="D1045" s="700" t="s">
        <v>36</v>
      </c>
    </row>
    <row r="1046" spans="1:5" x14ac:dyDescent="0.25">
      <c r="A1046" s="700">
        <v>1</v>
      </c>
      <c r="B1046" s="700">
        <v>2</v>
      </c>
      <c r="C1046" s="700">
        <v>3</v>
      </c>
      <c r="D1046" s="700">
        <v>4</v>
      </c>
    </row>
    <row r="1047" spans="1:5" ht="60" x14ac:dyDescent="0.25">
      <c r="A1047" s="700">
        <v>1</v>
      </c>
      <c r="B1047" s="704" t="s">
        <v>939</v>
      </c>
      <c r="C1047" s="538">
        <v>38402.46</v>
      </c>
      <c r="D1047" s="538">
        <f>D1049+D1050</f>
        <v>8448.5411999999997</v>
      </c>
    </row>
    <row r="1048" spans="1:5" x14ac:dyDescent="0.25">
      <c r="A1048" s="704"/>
      <c r="B1048" s="704" t="s">
        <v>4</v>
      </c>
      <c r="C1048" s="538"/>
      <c r="D1048" s="538"/>
    </row>
    <row r="1049" spans="1:5" x14ac:dyDescent="0.25">
      <c r="A1049" s="700" t="s">
        <v>38</v>
      </c>
      <c r="B1049" s="704" t="s">
        <v>39</v>
      </c>
      <c r="C1049" s="538">
        <f>C1047-C1050</f>
        <v>38402.46</v>
      </c>
      <c r="D1049" s="538">
        <f>C1049*0.22</f>
        <v>8448.5411999999997</v>
      </c>
    </row>
    <row r="1050" spans="1:5" x14ac:dyDescent="0.25">
      <c r="A1050" s="700" t="s">
        <v>40</v>
      </c>
      <c r="B1050" s="704" t="s">
        <v>41</v>
      </c>
      <c r="C1050" s="538"/>
      <c r="D1050" s="538">
        <f>C1050*0.1</f>
        <v>0</v>
      </c>
    </row>
    <row r="1051" spans="1:5" ht="90" x14ac:dyDescent="0.25">
      <c r="A1051" s="700" t="s">
        <v>42</v>
      </c>
      <c r="B1051" s="704" t="s">
        <v>43</v>
      </c>
      <c r="C1051" s="538"/>
      <c r="D1051" s="538"/>
    </row>
    <row r="1052" spans="1:5" ht="60" x14ac:dyDescent="0.25">
      <c r="A1052" s="700">
        <v>2</v>
      </c>
      <c r="B1052" s="704" t="s">
        <v>44</v>
      </c>
      <c r="C1052" s="614"/>
      <c r="D1052" s="614">
        <f>D1054+D1056</f>
        <v>1190.47</v>
      </c>
    </row>
    <row r="1053" spans="1:5" x14ac:dyDescent="0.25">
      <c r="A1053" s="704"/>
      <c r="B1053" s="704" t="s">
        <v>4</v>
      </c>
      <c r="C1053" s="538"/>
      <c r="D1053" s="538"/>
    </row>
    <row r="1054" spans="1:5" ht="90" x14ac:dyDescent="0.25">
      <c r="A1054" s="700" t="s">
        <v>45</v>
      </c>
      <c r="B1054" s="704" t="s">
        <v>46</v>
      </c>
      <c r="C1054" s="538">
        <f>C1047-C1055</f>
        <v>38402.46</v>
      </c>
      <c r="D1054" s="538">
        <f>ROUND(C1054*0.029,2)</f>
        <v>1113.67</v>
      </c>
    </row>
    <row r="1055" spans="1:5" ht="75" x14ac:dyDescent="0.25">
      <c r="A1055" s="700" t="s">
        <v>47</v>
      </c>
      <c r="B1055" s="704" t="s">
        <v>48</v>
      </c>
      <c r="C1055" s="538"/>
      <c r="D1055" s="538">
        <v>0</v>
      </c>
    </row>
    <row r="1056" spans="1:5" ht="105" x14ac:dyDescent="0.25">
      <c r="A1056" s="700" t="s">
        <v>49</v>
      </c>
      <c r="B1056" s="704" t="s">
        <v>50</v>
      </c>
      <c r="C1056" s="538">
        <f>C1047</f>
        <v>38402.46</v>
      </c>
      <c r="D1056" s="538">
        <f>ROUND(C1056*0.002,2)</f>
        <v>76.8</v>
      </c>
    </row>
    <row r="1057" spans="1:13" ht="105" x14ac:dyDescent="0.25">
      <c r="A1057" s="700" t="s">
        <v>51</v>
      </c>
      <c r="B1057" s="704" t="s">
        <v>52</v>
      </c>
      <c r="C1057" s="538"/>
      <c r="D1057" s="538"/>
    </row>
    <row r="1058" spans="1:13" ht="105" x14ac:dyDescent="0.25">
      <c r="A1058" s="700" t="s">
        <v>53</v>
      </c>
      <c r="B1058" s="704" t="s">
        <v>52</v>
      </c>
      <c r="C1058" s="538"/>
      <c r="D1058" s="538"/>
    </row>
    <row r="1059" spans="1:13" ht="90" x14ac:dyDescent="0.25">
      <c r="A1059" s="700">
        <v>3</v>
      </c>
      <c r="B1059" s="704" t="s">
        <v>54</v>
      </c>
      <c r="C1059" s="538">
        <f>C1047</f>
        <v>38402.46</v>
      </c>
      <c r="D1059" s="538">
        <f>ROUND(C1059*0.051,2)</f>
        <v>1958.53</v>
      </c>
    </row>
    <row r="1060" spans="1:13" x14ac:dyDescent="0.25">
      <c r="A1060" s="838" t="s">
        <v>344</v>
      </c>
      <c r="B1060" s="838"/>
      <c r="C1060" s="538">
        <f>C1047</f>
        <v>38402.46</v>
      </c>
      <c r="D1060" s="538">
        <f>ROUND(D1047+D1054+D1059+D1056,0)-0.46</f>
        <v>11597.54</v>
      </c>
    </row>
    <row r="1062" spans="1:13" ht="18.75" x14ac:dyDescent="0.3">
      <c r="A1062" s="435" t="s">
        <v>19</v>
      </c>
      <c r="B1062" s="435"/>
      <c r="C1062" s="840" t="s">
        <v>995</v>
      </c>
      <c r="D1062" s="840"/>
    </row>
    <row r="1063" spans="1:13" ht="18.75" x14ac:dyDescent="0.3">
      <c r="A1063" s="436" t="s">
        <v>675</v>
      </c>
      <c r="B1063" s="435"/>
      <c r="C1063" s="837" t="s">
        <v>938</v>
      </c>
      <c r="D1063" s="837"/>
      <c r="E1063" s="837"/>
    </row>
    <row r="1064" spans="1:13" ht="18.75" x14ac:dyDescent="0.3">
      <c r="A1064" s="470" t="s">
        <v>677</v>
      </c>
      <c r="B1064" s="470"/>
      <c r="C1064" s="837" t="s">
        <v>996</v>
      </c>
      <c r="D1064" s="837"/>
      <c r="E1064" s="837"/>
    </row>
    <row r="1065" spans="1:13" ht="18.75" x14ac:dyDescent="0.3">
      <c r="A1065" s="612"/>
      <c r="B1065" s="612"/>
      <c r="C1065" s="613"/>
      <c r="D1065" s="612"/>
    </row>
    <row r="1066" spans="1:13" x14ac:dyDescent="0.25">
      <c r="A1066" s="208"/>
      <c r="B1066" s="208"/>
      <c r="C1066" s="208"/>
      <c r="D1066" s="208"/>
    </row>
    <row r="1067" spans="1:13" ht="60" x14ac:dyDescent="0.25">
      <c r="A1067" s="700" t="s">
        <v>23</v>
      </c>
      <c r="B1067" s="700" t="s">
        <v>34</v>
      </c>
      <c r="C1067" s="700" t="s">
        <v>35</v>
      </c>
      <c r="D1067" s="700" t="s">
        <v>36</v>
      </c>
      <c r="H1067" s="214"/>
      <c r="I1067" s="214"/>
      <c r="J1067" s="214"/>
      <c r="K1067" s="214"/>
      <c r="L1067" s="214"/>
      <c r="M1067" s="214"/>
    </row>
    <row r="1068" spans="1:13" x14ac:dyDescent="0.25">
      <c r="A1068" s="700">
        <v>1</v>
      </c>
      <c r="B1068" s="700">
        <v>2</v>
      </c>
      <c r="C1068" s="700">
        <v>3</v>
      </c>
      <c r="D1068" s="700">
        <v>4</v>
      </c>
      <c r="H1068" s="214"/>
      <c r="I1068" s="214"/>
      <c r="J1068" s="214"/>
      <c r="K1068" s="214"/>
      <c r="L1068" s="214"/>
      <c r="M1068" s="214"/>
    </row>
    <row r="1069" spans="1:13" ht="60" x14ac:dyDescent="0.25">
      <c r="A1069" s="700">
        <v>1</v>
      </c>
      <c r="B1069" s="704" t="s">
        <v>939</v>
      </c>
      <c r="C1069" s="538"/>
      <c r="D1069" s="538">
        <f>ROUND(C1069*0.22,2)</f>
        <v>0</v>
      </c>
      <c r="H1069" s="214"/>
      <c r="I1069" s="214"/>
      <c r="J1069" s="214"/>
      <c r="K1069" s="214"/>
      <c r="L1069" s="214"/>
      <c r="M1069" s="214"/>
    </row>
    <row r="1070" spans="1:13" x14ac:dyDescent="0.25">
      <c r="A1070" s="704"/>
      <c r="B1070" s="704" t="s">
        <v>4</v>
      </c>
      <c r="C1070" s="538"/>
      <c r="D1070" s="538"/>
      <c r="H1070" s="214"/>
      <c r="I1070" s="214"/>
      <c r="J1070" s="214"/>
      <c r="K1070" s="214"/>
      <c r="L1070" s="214"/>
      <c r="M1070" s="214"/>
    </row>
    <row r="1071" spans="1:13" x14ac:dyDescent="0.25">
      <c r="A1071" s="700" t="s">
        <v>38</v>
      </c>
      <c r="B1071" s="704" t="s">
        <v>39</v>
      </c>
      <c r="C1071" s="538">
        <f>C1069</f>
        <v>0</v>
      </c>
      <c r="D1071" s="538">
        <f>D1069</f>
        <v>0</v>
      </c>
      <c r="H1071" s="214"/>
      <c r="I1071" s="214"/>
      <c r="J1071" s="214"/>
      <c r="K1071" s="214"/>
      <c r="L1071" s="214"/>
      <c r="M1071" s="214"/>
    </row>
    <row r="1072" spans="1:13" x14ac:dyDescent="0.25">
      <c r="A1072" s="700" t="s">
        <v>40</v>
      </c>
      <c r="B1072" s="704" t="s">
        <v>41</v>
      </c>
      <c r="C1072" s="538"/>
      <c r="D1072" s="538"/>
      <c r="H1072" s="214"/>
      <c r="I1072" s="214"/>
      <c r="J1072" s="214"/>
      <c r="K1072" s="214"/>
      <c r="L1072" s="214"/>
      <c r="M1072" s="214"/>
    </row>
    <row r="1073" spans="1:13" ht="90" x14ac:dyDescent="0.25">
      <c r="A1073" s="700" t="s">
        <v>42</v>
      </c>
      <c r="B1073" s="704" t="s">
        <v>43</v>
      </c>
      <c r="C1073" s="538"/>
      <c r="D1073" s="538"/>
      <c r="H1073" s="214"/>
      <c r="I1073" s="214"/>
      <c r="J1073" s="214"/>
      <c r="K1073" s="214"/>
      <c r="L1073" s="214"/>
      <c r="M1073" s="214"/>
    </row>
    <row r="1074" spans="1:13" ht="60" x14ac:dyDescent="0.25">
      <c r="A1074" s="700">
        <v>2</v>
      </c>
      <c r="B1074" s="704" t="s">
        <v>44</v>
      </c>
      <c r="C1074" s="614"/>
      <c r="D1074" s="614">
        <f>D1076+D1078</f>
        <v>0</v>
      </c>
      <c r="H1074" s="214"/>
      <c r="I1074" s="214"/>
      <c r="J1074" s="214"/>
      <c r="K1074" s="214"/>
      <c r="L1074" s="214"/>
      <c r="M1074" s="214"/>
    </row>
    <row r="1075" spans="1:13" x14ac:dyDescent="0.25">
      <c r="A1075" s="704"/>
      <c r="B1075" s="704" t="s">
        <v>4</v>
      </c>
      <c r="C1075" s="538"/>
      <c r="D1075" s="538"/>
      <c r="H1075" s="214"/>
      <c r="I1075" s="214"/>
      <c r="J1075" s="214"/>
      <c r="K1075" s="214"/>
      <c r="L1075" s="214"/>
      <c r="M1075" s="214"/>
    </row>
    <row r="1076" spans="1:13" ht="90" x14ac:dyDescent="0.25">
      <c r="A1076" s="700" t="s">
        <v>45</v>
      </c>
      <c r="B1076" s="704" t="s">
        <v>46</v>
      </c>
      <c r="C1076" s="538">
        <f>C1069</f>
        <v>0</v>
      </c>
      <c r="D1076" s="538">
        <f>ROUND(C1076*0.029,2)</f>
        <v>0</v>
      </c>
      <c r="H1076" s="214"/>
      <c r="I1076" s="214"/>
      <c r="J1076" s="214"/>
      <c r="K1076" s="214"/>
      <c r="L1076" s="214"/>
      <c r="M1076" s="214"/>
    </row>
    <row r="1077" spans="1:13" ht="75" x14ac:dyDescent="0.25">
      <c r="A1077" s="700" t="s">
        <v>47</v>
      </c>
      <c r="B1077" s="704" t="s">
        <v>48</v>
      </c>
      <c r="C1077" s="538"/>
      <c r="D1077" s="538"/>
      <c r="H1077" s="214"/>
      <c r="I1077" s="214"/>
      <c r="J1077" s="214"/>
      <c r="K1077" s="214"/>
      <c r="L1077" s="214"/>
      <c r="M1077" s="214"/>
    </row>
    <row r="1078" spans="1:13" ht="105" x14ac:dyDescent="0.25">
      <c r="A1078" s="700" t="s">
        <v>49</v>
      </c>
      <c r="B1078" s="704" t="s">
        <v>50</v>
      </c>
      <c r="C1078" s="538">
        <f>C1069</f>
        <v>0</v>
      </c>
      <c r="D1078" s="538">
        <f>ROUND(C1078*0.002,2)</f>
        <v>0</v>
      </c>
      <c r="H1078" s="214"/>
      <c r="I1078" s="214"/>
      <c r="J1078" s="214"/>
      <c r="K1078" s="214"/>
      <c r="L1078" s="214"/>
      <c r="M1078" s="214"/>
    </row>
    <row r="1079" spans="1:13" ht="105" x14ac:dyDescent="0.25">
      <c r="A1079" s="700" t="s">
        <v>51</v>
      </c>
      <c r="B1079" s="704" t="s">
        <v>52</v>
      </c>
      <c r="C1079" s="538"/>
      <c r="D1079" s="538"/>
    </row>
    <row r="1080" spans="1:13" ht="105" x14ac:dyDescent="0.25">
      <c r="A1080" s="700" t="s">
        <v>53</v>
      </c>
      <c r="B1080" s="704" t="s">
        <v>52</v>
      </c>
      <c r="C1080" s="538"/>
      <c r="D1080" s="538"/>
    </row>
    <row r="1081" spans="1:13" ht="90" x14ac:dyDescent="0.25">
      <c r="A1081" s="700">
        <v>3</v>
      </c>
      <c r="B1081" s="704" t="s">
        <v>54</v>
      </c>
      <c r="C1081" s="538">
        <f>C1069</f>
        <v>0</v>
      </c>
      <c r="D1081" s="538">
        <f>ROUND(C1081*0.051,2)</f>
        <v>0</v>
      </c>
    </row>
    <row r="1082" spans="1:13" x14ac:dyDescent="0.25">
      <c r="A1082" s="838" t="s">
        <v>344</v>
      </c>
      <c r="B1082" s="838"/>
      <c r="C1082" s="538">
        <f>C1069</f>
        <v>0</v>
      </c>
      <c r="D1082" s="538">
        <f>ROUND(D1069+D1076+D1081+D1078,0)</f>
        <v>0</v>
      </c>
    </row>
    <row r="1085" spans="1:13" ht="18.75" x14ac:dyDescent="0.3">
      <c r="A1085" s="435" t="s">
        <v>19</v>
      </c>
      <c r="B1085" s="435"/>
      <c r="C1085" s="435"/>
      <c r="D1085" s="839" t="s">
        <v>995</v>
      </c>
      <c r="E1085" s="839"/>
      <c r="F1085" s="439"/>
      <c r="G1085" s="440"/>
    </row>
    <row r="1086" spans="1:13" ht="18.75" x14ac:dyDescent="0.3">
      <c r="A1086" s="435" t="s">
        <v>675</v>
      </c>
      <c r="B1086" s="435"/>
      <c r="C1086" s="435"/>
      <c r="D1086" s="439" t="s">
        <v>940</v>
      </c>
      <c r="E1086" s="439"/>
      <c r="F1086" s="439"/>
      <c r="G1086" s="440"/>
    </row>
    <row r="1087" spans="1:13" ht="18.75" x14ac:dyDescent="0.3">
      <c r="A1087" s="470" t="s">
        <v>677</v>
      </c>
      <c r="B1087" s="470"/>
      <c r="C1087" s="470"/>
      <c r="D1087" s="471" t="s">
        <v>996</v>
      </c>
      <c r="E1087" s="472"/>
      <c r="F1087" s="472"/>
      <c r="G1087" s="441"/>
    </row>
    <row r="1088" spans="1:13" ht="18.75" x14ac:dyDescent="0.3">
      <c r="A1088" s="208"/>
      <c r="B1088" s="208"/>
      <c r="C1088" s="470"/>
      <c r="D1088" s="208"/>
      <c r="E1088" s="470"/>
      <c r="F1088" s="470"/>
      <c r="G1088" s="470"/>
    </row>
    <row r="1089" spans="1:7" ht="90" x14ac:dyDescent="0.25">
      <c r="A1089" s="701" t="s">
        <v>23</v>
      </c>
      <c r="B1089" s="701" t="s">
        <v>30</v>
      </c>
      <c r="C1089" s="701" t="s">
        <v>55</v>
      </c>
      <c r="D1089" s="701" t="s">
        <v>56</v>
      </c>
      <c r="E1089" s="701" t="s">
        <v>997</v>
      </c>
      <c r="F1089" s="701" t="s">
        <v>31</v>
      </c>
    </row>
    <row r="1090" spans="1:7" x14ac:dyDescent="0.25">
      <c r="A1090" s="700">
        <v>1</v>
      </c>
      <c r="B1090" s="700">
        <v>2</v>
      </c>
      <c r="C1090" s="700">
        <v>3</v>
      </c>
      <c r="D1090" s="700">
        <v>4</v>
      </c>
      <c r="E1090" s="700">
        <v>5</v>
      </c>
      <c r="F1090" s="700">
        <v>6</v>
      </c>
    </row>
    <row r="1091" spans="1:7" x14ac:dyDescent="0.25">
      <c r="A1091" s="704">
        <v>1</v>
      </c>
      <c r="B1091" s="704" t="s">
        <v>998</v>
      </c>
      <c r="C1091" s="442"/>
      <c r="D1091" s="704">
        <v>23</v>
      </c>
      <c r="E1091" s="704">
        <v>4</v>
      </c>
      <c r="F1091" s="457">
        <f>E1091*D1091*C1091</f>
        <v>0</v>
      </c>
    </row>
    <row r="1092" spans="1:7" x14ac:dyDescent="0.25">
      <c r="A1092" s="838" t="s">
        <v>344</v>
      </c>
      <c r="B1092" s="838"/>
      <c r="C1092" s="704"/>
      <c r="D1092" s="704"/>
      <c r="E1092" s="704"/>
      <c r="F1092" s="457">
        <f>F1091</f>
        <v>0</v>
      </c>
    </row>
    <row r="1096" spans="1:7" ht="18.75" x14ac:dyDescent="0.3">
      <c r="A1096" s="435" t="s">
        <v>19</v>
      </c>
      <c r="B1096" s="435"/>
      <c r="C1096" s="798" t="s">
        <v>999</v>
      </c>
      <c r="D1096" s="798"/>
      <c r="E1096" s="798"/>
      <c r="F1096" s="439"/>
      <c r="G1096" s="439"/>
    </row>
    <row r="1097" spans="1:7" ht="18.75" x14ac:dyDescent="0.3">
      <c r="A1097" s="436" t="s">
        <v>675</v>
      </c>
      <c r="B1097" s="435"/>
      <c r="C1097" s="799" t="s">
        <v>683</v>
      </c>
      <c r="D1097" s="799"/>
      <c r="E1097" s="799"/>
      <c r="F1097" s="799"/>
      <c r="G1097" s="799"/>
    </row>
    <row r="1098" spans="1:7" ht="18.75" x14ac:dyDescent="0.3">
      <c r="A1098" s="800" t="s">
        <v>677</v>
      </c>
      <c r="B1098" s="800"/>
      <c r="C1098" s="799" t="s">
        <v>684</v>
      </c>
      <c r="D1098" s="799"/>
      <c r="E1098" s="799"/>
      <c r="F1098" s="437"/>
      <c r="G1098" s="437"/>
    </row>
    <row r="1099" spans="1:7" x14ac:dyDescent="0.25">
      <c r="A1099" s="208"/>
      <c r="B1099" s="208"/>
      <c r="C1099" s="208"/>
      <c r="D1099" s="208"/>
      <c r="E1099" s="208"/>
      <c r="F1099" s="208"/>
      <c r="G1099" s="208"/>
    </row>
    <row r="1100" spans="1:7" x14ac:dyDescent="0.25">
      <c r="A1100" s="811" t="s">
        <v>23</v>
      </c>
      <c r="B1100" s="801" t="s">
        <v>30</v>
      </c>
      <c r="C1100" s="801" t="s">
        <v>75</v>
      </c>
      <c r="D1100" s="811" t="s">
        <v>1000</v>
      </c>
      <c r="E1100" s="801" t="s">
        <v>795</v>
      </c>
      <c r="F1100" s="801" t="s">
        <v>76</v>
      </c>
      <c r="G1100" s="801" t="s">
        <v>31</v>
      </c>
    </row>
    <row r="1101" spans="1:7" x14ac:dyDescent="0.25">
      <c r="A1101" s="813"/>
      <c r="B1101" s="801"/>
      <c r="C1101" s="801"/>
      <c r="D1101" s="813"/>
      <c r="E1101" s="801"/>
      <c r="F1101" s="801"/>
      <c r="G1101" s="801"/>
    </row>
    <row r="1102" spans="1:7" x14ac:dyDescent="0.25">
      <c r="A1102" s="702">
        <v>1</v>
      </c>
      <c r="B1102" s="702">
        <v>2</v>
      </c>
      <c r="C1102" s="702">
        <v>3</v>
      </c>
      <c r="D1102" s="702"/>
      <c r="E1102" s="702">
        <v>4</v>
      </c>
      <c r="F1102" s="702">
        <v>5</v>
      </c>
      <c r="G1102" s="702">
        <v>6</v>
      </c>
    </row>
    <row r="1103" spans="1:7" ht="204" x14ac:dyDescent="0.25">
      <c r="A1103" s="703">
        <v>1</v>
      </c>
      <c r="B1103" s="703" t="s">
        <v>1001</v>
      </c>
      <c r="C1103" s="703">
        <v>1</v>
      </c>
      <c r="D1103" s="703"/>
      <c r="E1103" s="448">
        <v>1</v>
      </c>
      <c r="F1103" s="448">
        <f>G1103</f>
        <v>120000</v>
      </c>
      <c r="G1103" s="448">
        <v>120000</v>
      </c>
    </row>
    <row r="1104" spans="1:7" x14ac:dyDescent="0.25">
      <c r="A1104" s="797" t="s">
        <v>344</v>
      </c>
      <c r="B1104" s="797"/>
      <c r="C1104" s="703"/>
      <c r="D1104" s="703"/>
      <c r="E1104" s="448"/>
      <c r="F1104" s="448"/>
      <c r="G1104" s="448">
        <f>SUM(G1103:G1103)</f>
        <v>120000</v>
      </c>
    </row>
    <row r="1108" spans="1:9" ht="15.75" x14ac:dyDescent="0.25">
      <c r="A1108" s="835" t="s">
        <v>967</v>
      </c>
      <c r="B1108" s="836"/>
      <c r="C1108" s="836"/>
      <c r="D1108" s="836"/>
      <c r="E1108" s="836"/>
      <c r="F1108" s="836"/>
      <c r="G1108" s="836"/>
      <c r="H1108" s="836"/>
      <c r="I1108" s="836"/>
    </row>
    <row r="1110" spans="1:9" ht="18.75" x14ac:dyDescent="0.3">
      <c r="A1110" s="435" t="s">
        <v>19</v>
      </c>
      <c r="B1110" s="435"/>
      <c r="C1110" s="798" t="s">
        <v>1002</v>
      </c>
      <c r="D1110" s="798"/>
      <c r="E1110" s="439"/>
      <c r="F1110" s="439"/>
    </row>
    <row r="1111" spans="1:9" ht="54.75" customHeight="1" x14ac:dyDescent="0.3">
      <c r="A1111" s="436" t="s">
        <v>675</v>
      </c>
      <c r="B1111" s="435"/>
      <c r="C1111" s="799" t="s">
        <v>683</v>
      </c>
      <c r="D1111" s="799"/>
      <c r="E1111" s="799"/>
      <c r="F1111" s="799"/>
    </row>
    <row r="1112" spans="1:9" ht="18.75" x14ac:dyDescent="0.3">
      <c r="A1112" s="800" t="s">
        <v>677</v>
      </c>
      <c r="B1112" s="800"/>
      <c r="C1112" s="799" t="s">
        <v>774</v>
      </c>
      <c r="D1112" s="799"/>
      <c r="E1112" s="437"/>
      <c r="F1112" s="437"/>
    </row>
    <row r="1113" spans="1:9" x14ac:dyDescent="0.25">
      <c r="A1113" s="208"/>
      <c r="B1113" s="208"/>
      <c r="C1113" s="208"/>
      <c r="D1113" s="208"/>
      <c r="E1113" s="208"/>
      <c r="F1113" s="208"/>
    </row>
    <row r="1114" spans="1:9" x14ac:dyDescent="0.25">
      <c r="A1114" s="811" t="s">
        <v>23</v>
      </c>
      <c r="B1114" s="801" t="s">
        <v>30</v>
      </c>
      <c r="C1114" s="801" t="s">
        <v>75</v>
      </c>
      <c r="D1114" s="801" t="s">
        <v>795</v>
      </c>
      <c r="E1114" s="801" t="s">
        <v>76</v>
      </c>
      <c r="F1114" s="801" t="s">
        <v>31</v>
      </c>
    </row>
    <row r="1115" spans="1:9" x14ac:dyDescent="0.25">
      <c r="A1115" s="813"/>
      <c r="B1115" s="801"/>
      <c r="C1115" s="801"/>
      <c r="D1115" s="801"/>
      <c r="E1115" s="801"/>
      <c r="F1115" s="801"/>
    </row>
    <row r="1116" spans="1:9" x14ac:dyDescent="0.25">
      <c r="A1116" s="706">
        <v>1</v>
      </c>
      <c r="B1116" s="706">
        <v>2</v>
      </c>
      <c r="C1116" s="706">
        <v>3</v>
      </c>
      <c r="D1116" s="706">
        <v>4</v>
      </c>
      <c r="E1116" s="706">
        <v>5</v>
      </c>
      <c r="F1116" s="706">
        <v>6</v>
      </c>
    </row>
    <row r="1117" spans="1:9" ht="216.75" x14ac:dyDescent="0.25">
      <c r="A1117" s="705">
        <v>1</v>
      </c>
      <c r="B1117" s="707" t="s">
        <v>1003</v>
      </c>
      <c r="C1117" s="705">
        <v>1</v>
      </c>
      <c r="D1117" s="448">
        <v>1</v>
      </c>
      <c r="E1117" s="448">
        <v>3333.34</v>
      </c>
      <c r="F1117" s="448">
        <f>E1117</f>
        <v>3333.34</v>
      </c>
    </row>
    <row r="1118" spans="1:9" x14ac:dyDescent="0.25">
      <c r="A1118" s="797" t="s">
        <v>344</v>
      </c>
      <c r="B1118" s="797"/>
      <c r="C1118" s="705"/>
      <c r="D1118" s="448"/>
      <c r="E1118" s="448"/>
      <c r="F1118" s="448">
        <f>SUM(F1117:F1117)</f>
        <v>3333.34</v>
      </c>
    </row>
    <row r="1120" spans="1:9" ht="18.75" x14ac:dyDescent="0.3">
      <c r="A1120" s="713" t="s">
        <v>967</v>
      </c>
      <c r="B1120" s="714"/>
      <c r="C1120" s="714"/>
      <c r="D1120" s="714"/>
      <c r="E1120" s="714"/>
    </row>
    <row r="1122" spans="1:7" ht="18.75" x14ac:dyDescent="0.3">
      <c r="A1122" s="435" t="s">
        <v>19</v>
      </c>
      <c r="B1122" s="435"/>
      <c r="C1122" s="798" t="s">
        <v>893</v>
      </c>
      <c r="D1122" s="798"/>
      <c r="E1122" s="439"/>
      <c r="F1122" s="439"/>
      <c r="G1122" s="208"/>
    </row>
    <row r="1123" spans="1:7" ht="18.75" x14ac:dyDescent="0.3">
      <c r="A1123" s="436" t="s">
        <v>675</v>
      </c>
      <c r="B1123" s="435"/>
      <c r="C1123" s="799" t="s">
        <v>683</v>
      </c>
      <c r="D1123" s="799"/>
      <c r="E1123" s="799"/>
      <c r="F1123" s="799"/>
      <c r="G1123" s="208"/>
    </row>
    <row r="1124" spans="1:7" ht="18.75" x14ac:dyDescent="0.3">
      <c r="A1124" s="800" t="s">
        <v>677</v>
      </c>
      <c r="B1124" s="800"/>
      <c r="C1124" s="799" t="s">
        <v>774</v>
      </c>
      <c r="D1124" s="799"/>
      <c r="E1124" s="437"/>
      <c r="F1124" s="437"/>
      <c r="G1124" s="208"/>
    </row>
    <row r="1125" spans="1:7" x14ac:dyDescent="0.25">
      <c r="A1125" s="208"/>
      <c r="B1125" s="208"/>
      <c r="C1125" s="208"/>
      <c r="D1125" s="208"/>
      <c r="E1125" s="208"/>
      <c r="F1125" s="208"/>
      <c r="G1125" s="208"/>
    </row>
    <row r="1126" spans="1:7" ht="30" x14ac:dyDescent="0.25">
      <c r="A1126" s="709" t="s">
        <v>23</v>
      </c>
      <c r="B1126" s="709" t="s">
        <v>30</v>
      </c>
      <c r="C1126" s="709" t="s">
        <v>72</v>
      </c>
      <c r="D1126" s="709" t="s">
        <v>74</v>
      </c>
      <c r="E1126" s="711" t="s">
        <v>1004</v>
      </c>
      <c r="F1126" s="479"/>
      <c r="G1126" s="208"/>
    </row>
    <row r="1127" spans="1:7" x14ac:dyDescent="0.25">
      <c r="A1127" s="709">
        <v>1</v>
      </c>
      <c r="B1127" s="709">
        <v>2</v>
      </c>
      <c r="C1127" s="709">
        <v>3</v>
      </c>
      <c r="D1127" s="709">
        <v>5</v>
      </c>
      <c r="E1127" s="708">
        <v>6</v>
      </c>
      <c r="F1127" s="539"/>
      <c r="G1127" s="208"/>
    </row>
    <row r="1128" spans="1:7" ht="25.5" x14ac:dyDescent="0.25">
      <c r="A1128" s="709">
        <v>1</v>
      </c>
      <c r="B1128" s="712" t="s">
        <v>894</v>
      </c>
      <c r="C1128" s="709">
        <v>1</v>
      </c>
      <c r="D1128" s="541">
        <f>E1128</f>
        <v>608356.18999999994</v>
      </c>
      <c r="E1128" s="510">
        <f>170000+438356.19</f>
        <v>608356.18999999994</v>
      </c>
      <c r="F1128" s="540"/>
      <c r="G1128" s="208"/>
    </row>
    <row r="1129" spans="1:7" x14ac:dyDescent="0.25">
      <c r="A1129" s="709"/>
      <c r="B1129" s="508" t="s">
        <v>407</v>
      </c>
      <c r="C1129" s="709"/>
      <c r="D1129" s="709"/>
      <c r="E1129" s="510">
        <f>SUM(E1128:E1128)</f>
        <v>608356.18999999994</v>
      </c>
      <c r="F1129" s="540"/>
      <c r="G1129" s="208"/>
    </row>
    <row r="1132" spans="1:7" ht="18.75" x14ac:dyDescent="0.3">
      <c r="A1132" s="435" t="s">
        <v>19</v>
      </c>
      <c r="B1132" s="435"/>
      <c r="C1132" s="798" t="s">
        <v>898</v>
      </c>
      <c r="D1132" s="798"/>
      <c r="E1132" s="439"/>
      <c r="F1132" s="439"/>
      <c r="G1132" s="208"/>
    </row>
    <row r="1133" spans="1:7" ht="18.75" x14ac:dyDescent="0.3">
      <c r="A1133" s="436" t="s">
        <v>675</v>
      </c>
      <c r="B1133" s="435"/>
      <c r="C1133" s="799" t="s">
        <v>683</v>
      </c>
      <c r="D1133" s="799"/>
      <c r="E1133" s="799"/>
      <c r="F1133" s="799"/>
      <c r="G1133" s="208"/>
    </row>
    <row r="1134" spans="1:7" ht="18.75" x14ac:dyDescent="0.3">
      <c r="A1134" s="800" t="s">
        <v>677</v>
      </c>
      <c r="B1134" s="800"/>
      <c r="C1134" s="799" t="s">
        <v>774</v>
      </c>
      <c r="D1134" s="799"/>
      <c r="E1134" s="437"/>
      <c r="F1134" s="437"/>
      <c r="G1134" s="208"/>
    </row>
    <row r="1135" spans="1:7" x14ac:dyDescent="0.25">
      <c r="A1135" s="208"/>
      <c r="B1135" s="208"/>
      <c r="C1135" s="208"/>
      <c r="D1135" s="208"/>
      <c r="E1135" s="208"/>
      <c r="F1135" s="208"/>
      <c r="G1135" s="208"/>
    </row>
    <row r="1136" spans="1:7" x14ac:dyDescent="0.25">
      <c r="A1136" s="811" t="s">
        <v>23</v>
      </c>
      <c r="B1136" s="801" t="s">
        <v>30</v>
      </c>
      <c r="C1136" s="801" t="s">
        <v>75</v>
      </c>
      <c r="D1136" s="801" t="s">
        <v>795</v>
      </c>
      <c r="E1136" s="801" t="s">
        <v>76</v>
      </c>
      <c r="F1136" s="801" t="s">
        <v>31</v>
      </c>
      <c r="G1136" s="208"/>
    </row>
    <row r="1137" spans="1:7" x14ac:dyDescent="0.25">
      <c r="A1137" s="813"/>
      <c r="B1137" s="801"/>
      <c r="C1137" s="801"/>
      <c r="D1137" s="801"/>
      <c r="E1137" s="801"/>
      <c r="F1137" s="801"/>
      <c r="G1137" s="208"/>
    </row>
    <row r="1138" spans="1:7" x14ac:dyDescent="0.25">
      <c r="A1138" s="710">
        <v>1</v>
      </c>
      <c r="B1138" s="710">
        <v>2</v>
      </c>
      <c r="C1138" s="710">
        <v>3</v>
      </c>
      <c r="D1138" s="710">
        <v>4</v>
      </c>
      <c r="E1138" s="710">
        <v>5</v>
      </c>
      <c r="F1138" s="710">
        <v>6</v>
      </c>
      <c r="G1138" s="208"/>
    </row>
    <row r="1139" spans="1:7" ht="25.5" x14ac:dyDescent="0.25">
      <c r="A1139" s="712">
        <v>1</v>
      </c>
      <c r="B1139" s="712" t="s">
        <v>896</v>
      </c>
      <c r="C1139" s="712">
        <v>1</v>
      </c>
      <c r="D1139" s="448">
        <v>1</v>
      </c>
      <c r="E1139" s="448">
        <f>F1139</f>
        <v>476905.69999999995</v>
      </c>
      <c r="F1139" s="448">
        <f>596905.7-120000</f>
        <v>476905.69999999995</v>
      </c>
      <c r="G1139" s="208"/>
    </row>
    <row r="1140" spans="1:7" x14ac:dyDescent="0.25">
      <c r="A1140" s="797" t="s">
        <v>344</v>
      </c>
      <c r="B1140" s="797"/>
      <c r="C1140" s="712"/>
      <c r="D1140" s="448"/>
      <c r="E1140" s="448"/>
      <c r="F1140" s="448">
        <f>SUM(F1139:F1139)</f>
        <v>476905.69999999995</v>
      </c>
      <c r="G1140" s="208"/>
    </row>
    <row r="1144" spans="1:7" ht="18.75" x14ac:dyDescent="0.3">
      <c r="A1144" s="470" t="s">
        <v>915</v>
      </c>
      <c r="B1144" s="208"/>
      <c r="C1144" s="819" t="s">
        <v>1008</v>
      </c>
      <c r="D1144" s="819"/>
      <c r="E1144" s="819"/>
    </row>
    <row r="1145" spans="1:7" ht="18.75" x14ac:dyDescent="0.3">
      <c r="A1145" s="435" t="s">
        <v>675</v>
      </c>
      <c r="B1145" s="435"/>
      <c r="C1145" s="719" t="s">
        <v>940</v>
      </c>
      <c r="D1145" s="719"/>
      <c r="E1145" s="719"/>
    </row>
    <row r="1146" spans="1:7" ht="18.75" x14ac:dyDescent="0.3">
      <c r="A1146" s="470" t="s">
        <v>677</v>
      </c>
      <c r="B1146" s="470"/>
      <c r="C1146" s="470"/>
      <c r="D1146" s="578" t="s">
        <v>1009</v>
      </c>
      <c r="E1146" s="472"/>
    </row>
    <row r="1147" spans="1:7" x14ac:dyDescent="0.25">
      <c r="A1147" s="820" t="s">
        <v>1010</v>
      </c>
      <c r="B1147" s="821"/>
      <c r="C1147" s="821"/>
      <c r="D1147" s="821"/>
      <c r="E1147" s="821"/>
      <c r="F1147" s="720"/>
    </row>
    <row r="1148" spans="1:7" x14ac:dyDescent="0.25">
      <c r="A1148" s="822"/>
      <c r="B1148" s="823"/>
      <c r="C1148" s="823"/>
      <c r="D1148" s="823"/>
      <c r="E1148" s="823"/>
      <c r="F1148" s="721"/>
    </row>
    <row r="1149" spans="1:7" ht="36" customHeight="1" x14ac:dyDescent="0.25">
      <c r="A1149" s="824"/>
      <c r="B1149" s="825"/>
      <c r="C1149" s="825"/>
      <c r="D1149" s="825"/>
      <c r="E1149" s="825"/>
      <c r="F1149" s="722"/>
    </row>
    <row r="1150" spans="1:7" x14ac:dyDescent="0.25">
      <c r="A1150" s="826" t="s">
        <v>1011</v>
      </c>
      <c r="B1150" s="827"/>
      <c r="C1150" s="827"/>
      <c r="D1150" s="828"/>
      <c r="E1150" s="723">
        <f>560184.18-30683.66</f>
        <v>529500.52</v>
      </c>
    </row>
    <row r="1151" spans="1:7" x14ac:dyDescent="0.25">
      <c r="A1151" s="829" t="s">
        <v>1012</v>
      </c>
      <c r="B1151" s="830"/>
      <c r="C1151" s="830"/>
      <c r="D1151" s="831"/>
      <c r="E1151" s="724">
        <f>169175.62-9266.46</f>
        <v>159909.16</v>
      </c>
    </row>
    <row r="1152" spans="1:7" x14ac:dyDescent="0.25">
      <c r="A1152" s="832" t="s">
        <v>344</v>
      </c>
      <c r="B1152" s="833"/>
      <c r="C1152" s="833"/>
      <c r="D1152" s="834"/>
      <c r="E1152" s="725">
        <f>E1150+E1151</f>
        <v>689409.68</v>
      </c>
    </row>
    <row r="1156" spans="1:9" ht="18.75" x14ac:dyDescent="0.3">
      <c r="A1156" s="470" t="s">
        <v>915</v>
      </c>
      <c r="B1156" s="208"/>
      <c r="C1156" s="819" t="s">
        <v>1014</v>
      </c>
      <c r="D1156" s="819"/>
      <c r="E1156" s="819"/>
    </row>
    <row r="1157" spans="1:9" ht="18.75" x14ac:dyDescent="0.3">
      <c r="A1157" s="435" t="s">
        <v>675</v>
      </c>
      <c r="B1157" s="435"/>
      <c r="C1157" s="719" t="s">
        <v>940</v>
      </c>
      <c r="D1157" s="719"/>
      <c r="E1157" s="719"/>
    </row>
    <row r="1158" spans="1:9" ht="18.75" x14ac:dyDescent="0.3">
      <c r="A1158" s="470" t="s">
        <v>677</v>
      </c>
      <c r="B1158" s="470"/>
      <c r="C1158" s="470"/>
      <c r="D1158" s="578" t="s">
        <v>1015</v>
      </c>
      <c r="E1158" s="472"/>
    </row>
    <row r="1159" spans="1:9" x14ac:dyDescent="0.25">
      <c r="A1159" s="820" t="s">
        <v>1016</v>
      </c>
      <c r="B1159" s="821"/>
      <c r="C1159" s="821"/>
      <c r="D1159" s="821"/>
      <c r="E1159" s="821"/>
    </row>
    <row r="1160" spans="1:9" x14ac:dyDescent="0.25">
      <c r="A1160" s="822"/>
      <c r="B1160" s="823"/>
      <c r="C1160" s="823"/>
      <c r="D1160" s="823"/>
      <c r="E1160" s="823"/>
    </row>
    <row r="1161" spans="1:9" ht="25.5" customHeight="1" x14ac:dyDescent="0.25">
      <c r="A1161" s="824"/>
      <c r="B1161" s="825"/>
      <c r="C1161" s="825"/>
      <c r="D1161" s="825"/>
      <c r="E1161" s="825"/>
    </row>
    <row r="1162" spans="1:9" x14ac:dyDescent="0.25">
      <c r="A1162" s="826" t="s">
        <v>1011</v>
      </c>
      <c r="B1162" s="827"/>
      <c r="C1162" s="827"/>
      <c r="D1162" s="828"/>
      <c r="E1162" s="723">
        <v>460829.49</v>
      </c>
    </row>
    <row r="1163" spans="1:9" x14ac:dyDescent="0.25">
      <c r="A1163" s="829" t="s">
        <v>1012</v>
      </c>
      <c r="B1163" s="830"/>
      <c r="C1163" s="830"/>
      <c r="D1163" s="831"/>
      <c r="E1163" s="724">
        <v>139170.51</v>
      </c>
    </row>
    <row r="1164" spans="1:9" x14ac:dyDescent="0.25">
      <c r="A1164" s="832" t="s">
        <v>344</v>
      </c>
      <c r="B1164" s="833"/>
      <c r="C1164" s="833"/>
      <c r="D1164" s="834"/>
      <c r="E1164" s="725">
        <f>E1162+E1163</f>
        <v>600000</v>
      </c>
    </row>
    <row r="1168" spans="1:9" x14ac:dyDescent="0.25">
      <c r="A1168" s="918" t="s">
        <v>1017</v>
      </c>
      <c r="B1168" s="918"/>
      <c r="C1168" s="918"/>
      <c r="D1168" s="918"/>
      <c r="E1168" s="918"/>
      <c r="F1168" s="918"/>
      <c r="G1168" s="918"/>
      <c r="H1168" s="918"/>
      <c r="I1168" s="918"/>
    </row>
    <row r="1169" spans="1:9" x14ac:dyDescent="0.25">
      <c r="A1169" s="919" t="s">
        <v>1018</v>
      </c>
      <c r="B1169" s="919"/>
      <c r="C1169" s="919"/>
      <c r="D1169" s="919"/>
      <c r="E1169" s="919"/>
      <c r="F1169" s="919"/>
      <c r="G1169" s="919" t="s">
        <v>1019</v>
      </c>
      <c r="H1169" s="919"/>
      <c r="I1169" s="919"/>
    </row>
    <row r="1170" spans="1:9" x14ac:dyDescent="0.25">
      <c r="A1170" s="31" t="s">
        <v>243</v>
      </c>
      <c r="B1170" s="31" t="s">
        <v>80</v>
      </c>
      <c r="C1170" s="31" t="s">
        <v>1020</v>
      </c>
      <c r="D1170" s="31" t="s">
        <v>246</v>
      </c>
      <c r="E1170" s="728" t="s">
        <v>1021</v>
      </c>
      <c r="F1170" s="728" t="s">
        <v>540</v>
      </c>
      <c r="G1170" s="31" t="s">
        <v>246</v>
      </c>
      <c r="H1170" s="729" t="s">
        <v>1021</v>
      </c>
      <c r="I1170" s="729" t="s">
        <v>540</v>
      </c>
    </row>
    <row r="1171" spans="1:9" x14ac:dyDescent="0.25">
      <c r="A1171" s="64">
        <v>1</v>
      </c>
      <c r="B1171" s="730" t="s">
        <v>1022</v>
      </c>
      <c r="C1171" s="78" t="s">
        <v>239</v>
      </c>
      <c r="D1171" s="78">
        <v>10</v>
      </c>
      <c r="E1171" s="731">
        <v>700</v>
      </c>
      <c r="F1171" s="67">
        <f t="shared" ref="F1171:F1175" si="23">D1171*E1171</f>
        <v>7000</v>
      </c>
      <c r="G1171" s="64"/>
      <c r="H1171" s="732"/>
      <c r="I1171" s="732"/>
    </row>
    <row r="1172" spans="1:9" x14ac:dyDescent="0.25">
      <c r="A1172" s="64">
        <v>2</v>
      </c>
      <c r="B1172" s="733" t="s">
        <v>1023</v>
      </c>
      <c r="C1172" s="734" t="s">
        <v>239</v>
      </c>
      <c r="D1172" s="734">
        <v>4</v>
      </c>
      <c r="E1172" s="735">
        <v>2500</v>
      </c>
      <c r="F1172" s="736">
        <f t="shared" si="23"/>
        <v>10000</v>
      </c>
      <c r="G1172" s="737"/>
      <c r="H1172" s="738"/>
      <c r="I1172" s="738"/>
    </row>
    <row r="1173" spans="1:9" x14ac:dyDescent="0.25">
      <c r="A1173" s="64">
        <v>6</v>
      </c>
      <c r="B1173" s="62" t="s">
        <v>1026</v>
      </c>
      <c r="C1173" s="64" t="s">
        <v>239</v>
      </c>
      <c r="D1173" s="64">
        <v>2</v>
      </c>
      <c r="E1173" s="67">
        <v>5000</v>
      </c>
      <c r="F1173" s="67">
        <f t="shared" si="23"/>
        <v>10000</v>
      </c>
      <c r="G1173" s="64"/>
      <c r="H1173" s="732"/>
      <c r="I1173" s="732"/>
    </row>
    <row r="1174" spans="1:9" ht="30" x14ac:dyDescent="0.25">
      <c r="A1174" s="64">
        <v>7</v>
      </c>
      <c r="B1174" s="62" t="s">
        <v>1025</v>
      </c>
      <c r="C1174" s="64" t="s">
        <v>239</v>
      </c>
      <c r="D1174" s="64">
        <v>1</v>
      </c>
      <c r="E1174" s="67">
        <v>33000</v>
      </c>
      <c r="F1174" s="67">
        <f t="shared" si="23"/>
        <v>33000</v>
      </c>
      <c r="G1174" s="64"/>
      <c r="H1174" s="732"/>
      <c r="I1174" s="732"/>
    </row>
    <row r="1175" spans="1:9" x14ac:dyDescent="0.25">
      <c r="A1175" s="64"/>
      <c r="B1175" s="739" t="s">
        <v>1027</v>
      </c>
      <c r="C1175" s="726" t="s">
        <v>239</v>
      </c>
      <c r="D1175" s="726">
        <v>1</v>
      </c>
      <c r="E1175" s="740">
        <v>10000</v>
      </c>
      <c r="F1175" s="67">
        <f t="shared" si="23"/>
        <v>10000</v>
      </c>
      <c r="G1175" s="743"/>
      <c r="H1175" s="741"/>
      <c r="I1175" s="742"/>
    </row>
    <row r="1176" spans="1:9" x14ac:dyDescent="0.25">
      <c r="A1176" s="920" t="s">
        <v>1024</v>
      </c>
      <c r="B1176" s="920"/>
      <c r="C1176" s="920"/>
      <c r="D1176" s="920"/>
      <c r="E1176" s="920"/>
      <c r="F1176" s="744">
        <f>SUM(F1171:F1175)</f>
        <v>70000</v>
      </c>
      <c r="G1176" s="745"/>
      <c r="H1176" s="746"/>
      <c r="I1176" s="746"/>
    </row>
    <row r="1191" spans="1:9" ht="18.75" x14ac:dyDescent="0.3">
      <c r="A1191" s="713" t="s">
        <v>1034</v>
      </c>
      <c r="B1191" s="714"/>
      <c r="C1191" s="714"/>
      <c r="D1191" s="714"/>
      <c r="E1191" s="714"/>
      <c r="F1191" s="714"/>
      <c r="G1191" s="714"/>
      <c r="H1191" s="218"/>
      <c r="I1191" s="217"/>
    </row>
    <row r="1192" spans="1:9" x14ac:dyDescent="0.25">
      <c r="G1192" s="218"/>
      <c r="H1192" s="218"/>
      <c r="I1192" s="217"/>
    </row>
    <row r="1193" spans="1:9" x14ac:dyDescent="0.25">
      <c r="G1193" s="218"/>
      <c r="H1193" s="218"/>
      <c r="I1193" s="217"/>
    </row>
    <row r="1194" spans="1:9" x14ac:dyDescent="0.25">
      <c r="G1194" s="218"/>
      <c r="H1194" s="218"/>
      <c r="I1194" s="217"/>
    </row>
    <row r="1195" spans="1:9" x14ac:dyDescent="0.25">
      <c r="G1195" s="218"/>
      <c r="H1195" s="218"/>
      <c r="I1195" s="217"/>
    </row>
    <row r="1196" spans="1:9" ht="18.75" x14ac:dyDescent="0.3">
      <c r="A1196" s="435" t="s">
        <v>19</v>
      </c>
      <c r="B1196" s="435"/>
      <c r="C1196" s="798" t="s">
        <v>1035</v>
      </c>
      <c r="D1196" s="798"/>
      <c r="E1196" s="798"/>
      <c r="F1196" s="748"/>
      <c r="G1196" s="748"/>
      <c r="H1196" s="439"/>
      <c r="I1196" s="439"/>
    </row>
    <row r="1197" spans="1:9" ht="18.75" x14ac:dyDescent="0.3">
      <c r="A1197" s="436" t="s">
        <v>675</v>
      </c>
      <c r="B1197" s="435"/>
      <c r="C1197" s="799" t="s">
        <v>683</v>
      </c>
      <c r="D1197" s="799"/>
      <c r="E1197" s="799"/>
      <c r="F1197" s="799"/>
      <c r="G1197" s="799"/>
      <c r="H1197" s="799"/>
      <c r="I1197" s="799"/>
    </row>
    <row r="1198" spans="1:9" ht="18.75" x14ac:dyDescent="0.3">
      <c r="A1198" s="800" t="s">
        <v>677</v>
      </c>
      <c r="B1198" s="800"/>
      <c r="C1198" s="799" t="s">
        <v>1036</v>
      </c>
      <c r="D1198" s="799"/>
      <c r="E1198" s="799"/>
      <c r="F1198" s="748"/>
      <c r="G1198" s="748"/>
      <c r="H1198" s="437"/>
      <c r="I1198" s="437"/>
    </row>
    <row r="1199" spans="1:9" x14ac:dyDescent="0.25">
      <c r="A1199" s="801" t="s">
        <v>23</v>
      </c>
      <c r="B1199" s="801" t="s">
        <v>30</v>
      </c>
      <c r="C1199" s="811" t="s">
        <v>75</v>
      </c>
      <c r="D1199" s="814" t="s">
        <v>1037</v>
      </c>
      <c r="E1199" s="801" t="s">
        <v>1038</v>
      </c>
      <c r="F1199" s="814" t="s">
        <v>1039</v>
      </c>
      <c r="G1199" s="814" t="s">
        <v>1040</v>
      </c>
      <c r="H1199" s="801" t="s">
        <v>1041</v>
      </c>
      <c r="I1199" s="803" t="s">
        <v>31</v>
      </c>
    </row>
    <row r="1200" spans="1:9" x14ac:dyDescent="0.25">
      <c r="A1200" s="801"/>
      <c r="B1200" s="801"/>
      <c r="C1200" s="812"/>
      <c r="D1200" s="815"/>
      <c r="E1200" s="801"/>
      <c r="F1200" s="815"/>
      <c r="G1200" s="815"/>
      <c r="H1200" s="801"/>
      <c r="I1200" s="806"/>
    </row>
    <row r="1201" spans="1:9" x14ac:dyDescent="0.25">
      <c r="A1201" s="801"/>
      <c r="B1201" s="801"/>
      <c r="C1201" s="813"/>
      <c r="D1201" s="816"/>
      <c r="E1201" s="801"/>
      <c r="F1201" s="816"/>
      <c r="G1201" s="816"/>
      <c r="H1201" s="801"/>
      <c r="I1201" s="809"/>
    </row>
    <row r="1202" spans="1:9" x14ac:dyDescent="0.25">
      <c r="A1202" s="749">
        <v>1</v>
      </c>
      <c r="B1202" s="749">
        <v>2</v>
      </c>
      <c r="C1202" s="749">
        <v>3</v>
      </c>
      <c r="D1202" s="749"/>
      <c r="E1202" s="749">
        <v>4</v>
      </c>
      <c r="F1202" s="749"/>
      <c r="G1202" s="749"/>
      <c r="H1202" s="749">
        <v>5</v>
      </c>
      <c r="I1202" s="749">
        <v>6</v>
      </c>
    </row>
    <row r="1203" spans="1:9" ht="168.75" x14ac:dyDescent="0.25">
      <c r="A1203" s="747">
        <v>1</v>
      </c>
      <c r="B1203" s="750" t="s">
        <v>1042</v>
      </c>
      <c r="C1203" s="747">
        <v>0</v>
      </c>
      <c r="D1203" s="747">
        <v>0</v>
      </c>
      <c r="E1203" s="752">
        <v>0</v>
      </c>
      <c r="F1203" s="752">
        <v>0</v>
      </c>
      <c r="G1203" s="752">
        <v>0</v>
      </c>
      <c r="H1203" s="752">
        <v>0</v>
      </c>
      <c r="I1203" s="752">
        <v>0</v>
      </c>
    </row>
    <row r="1204" spans="1:9" x14ac:dyDescent="0.25">
      <c r="A1204" s="797" t="s">
        <v>344</v>
      </c>
      <c r="B1204" s="797"/>
      <c r="C1204" s="747"/>
      <c r="D1204" s="747"/>
      <c r="E1204" s="752"/>
      <c r="F1204" s="752"/>
      <c r="G1204" s="752"/>
      <c r="H1204" s="752"/>
      <c r="I1204" s="752">
        <v>0</v>
      </c>
    </row>
    <row r="1205" spans="1:9" x14ac:dyDescent="0.25">
      <c r="G1205" s="218"/>
      <c r="H1205" s="218"/>
      <c r="I1205" s="217"/>
    </row>
    <row r="1206" spans="1:9" x14ac:dyDescent="0.25">
      <c r="G1206" s="218"/>
      <c r="H1206" s="218"/>
      <c r="I1206" s="217"/>
    </row>
    <row r="1207" spans="1:9" x14ac:dyDescent="0.25">
      <c r="G1207" s="218"/>
      <c r="H1207" s="218"/>
      <c r="I1207" s="217"/>
    </row>
    <row r="1208" spans="1:9" ht="18.75" x14ac:dyDescent="0.3">
      <c r="A1208" s="713" t="s">
        <v>1034</v>
      </c>
      <c r="B1208" s="714"/>
      <c r="C1208" s="714"/>
      <c r="D1208" s="714"/>
      <c r="E1208" s="714"/>
      <c r="F1208" s="714"/>
      <c r="G1208" s="714"/>
      <c r="H1208" s="218"/>
      <c r="I1208" s="217"/>
    </row>
    <row r="1209" spans="1:9" x14ac:dyDescent="0.25">
      <c r="G1209" s="218"/>
      <c r="H1209" s="218"/>
      <c r="I1209" s="217"/>
    </row>
    <row r="1210" spans="1:9" x14ac:dyDescent="0.25">
      <c r="G1210" s="218"/>
      <c r="H1210" s="218"/>
      <c r="I1210" s="217"/>
    </row>
    <row r="1211" spans="1:9" x14ac:dyDescent="0.25">
      <c r="G1211" s="218"/>
      <c r="H1211" s="218"/>
      <c r="I1211" s="217"/>
    </row>
    <row r="1212" spans="1:9" x14ac:dyDescent="0.25">
      <c r="G1212" s="218"/>
      <c r="H1212" s="218"/>
      <c r="I1212" s="217"/>
    </row>
    <row r="1213" spans="1:9" ht="18.75" x14ac:dyDescent="0.3">
      <c r="A1213" s="435" t="s">
        <v>19</v>
      </c>
      <c r="B1213" s="435"/>
      <c r="C1213" s="798" t="s">
        <v>1043</v>
      </c>
      <c r="D1213" s="798"/>
      <c r="E1213" s="798"/>
      <c r="F1213" s="748"/>
      <c r="G1213" s="748"/>
      <c r="H1213" s="439"/>
      <c r="I1213" s="439"/>
    </row>
    <row r="1214" spans="1:9" ht="18.75" x14ac:dyDescent="0.3">
      <c r="A1214" s="436" t="s">
        <v>675</v>
      </c>
      <c r="B1214" s="435"/>
      <c r="C1214" s="799" t="s">
        <v>683</v>
      </c>
      <c r="D1214" s="799"/>
      <c r="E1214" s="799"/>
      <c r="F1214" s="799"/>
      <c r="G1214" s="799"/>
      <c r="H1214" s="799"/>
      <c r="I1214" s="799"/>
    </row>
    <row r="1215" spans="1:9" ht="18.75" x14ac:dyDescent="0.3">
      <c r="A1215" s="800" t="s">
        <v>677</v>
      </c>
      <c r="B1215" s="800"/>
      <c r="C1215" s="799" t="s">
        <v>1044</v>
      </c>
      <c r="D1215" s="799"/>
      <c r="E1215" s="799"/>
      <c r="F1215" s="748"/>
      <c r="G1215" s="748"/>
      <c r="H1215" s="437"/>
      <c r="I1215" s="437"/>
    </row>
    <row r="1216" spans="1:9" x14ac:dyDescent="0.25">
      <c r="A1216" s="801" t="s">
        <v>23</v>
      </c>
      <c r="B1216" s="801" t="s">
        <v>30</v>
      </c>
      <c r="C1216" s="811" t="s">
        <v>75</v>
      </c>
      <c r="D1216" s="814" t="s">
        <v>1037</v>
      </c>
      <c r="E1216" s="801" t="s">
        <v>1038</v>
      </c>
      <c r="F1216" s="814" t="s">
        <v>1039</v>
      </c>
      <c r="G1216" s="814" t="s">
        <v>1040</v>
      </c>
      <c r="H1216" s="801" t="s">
        <v>1041</v>
      </c>
      <c r="I1216" s="803" t="s">
        <v>31</v>
      </c>
    </row>
    <row r="1217" spans="1:9" x14ac:dyDescent="0.25">
      <c r="A1217" s="801"/>
      <c r="B1217" s="801"/>
      <c r="C1217" s="812"/>
      <c r="D1217" s="815"/>
      <c r="E1217" s="801"/>
      <c r="F1217" s="815"/>
      <c r="G1217" s="815"/>
      <c r="H1217" s="801"/>
      <c r="I1217" s="806"/>
    </row>
    <row r="1218" spans="1:9" x14ac:dyDescent="0.25">
      <c r="A1218" s="801"/>
      <c r="B1218" s="801"/>
      <c r="C1218" s="813"/>
      <c r="D1218" s="816"/>
      <c r="E1218" s="801"/>
      <c r="F1218" s="816"/>
      <c r="G1218" s="816"/>
      <c r="H1218" s="801"/>
      <c r="I1218" s="809"/>
    </row>
    <row r="1219" spans="1:9" x14ac:dyDescent="0.25">
      <c r="A1219" s="749">
        <v>1</v>
      </c>
      <c r="B1219" s="749">
        <v>2</v>
      </c>
      <c r="C1219" s="749">
        <v>3</v>
      </c>
      <c r="D1219" s="749"/>
      <c r="E1219" s="749">
        <v>4</v>
      </c>
      <c r="F1219" s="749"/>
      <c r="G1219" s="749"/>
      <c r="H1219" s="749">
        <v>5</v>
      </c>
      <c r="I1219" s="749">
        <v>6</v>
      </c>
    </row>
    <row r="1220" spans="1:9" ht="236.25" x14ac:dyDescent="0.25">
      <c r="A1220" s="747">
        <v>1</v>
      </c>
      <c r="B1220" s="750" t="s">
        <v>1045</v>
      </c>
      <c r="C1220" s="747">
        <v>1</v>
      </c>
      <c r="D1220" s="747">
        <v>12</v>
      </c>
      <c r="E1220" s="448">
        <v>91.15</v>
      </c>
      <c r="F1220" s="448">
        <v>10</v>
      </c>
      <c r="G1220" s="448">
        <v>136.72999999999999</v>
      </c>
      <c r="H1220" s="751">
        <v>96</v>
      </c>
      <c r="I1220" s="448">
        <v>92827.12</v>
      </c>
    </row>
    <row r="1221" spans="1:9" x14ac:dyDescent="0.25">
      <c r="A1221" s="797" t="s">
        <v>344</v>
      </c>
      <c r="B1221" s="797"/>
      <c r="C1221" s="747"/>
      <c r="D1221" s="747"/>
      <c r="E1221" s="448"/>
      <c r="F1221" s="448"/>
      <c r="G1221" s="448"/>
      <c r="H1221" s="448"/>
      <c r="I1221" s="448">
        <f>SUM(I1220:I1220)</f>
        <v>92827.12</v>
      </c>
    </row>
    <row r="1222" spans="1:9" x14ac:dyDescent="0.25">
      <c r="G1222" s="218"/>
      <c r="H1222" s="218"/>
      <c r="I1222" s="217"/>
    </row>
    <row r="1223" spans="1:9" x14ac:dyDescent="0.25">
      <c r="G1223" s="218"/>
      <c r="H1223" s="218"/>
      <c r="I1223" s="217"/>
    </row>
    <row r="1224" spans="1:9" x14ac:dyDescent="0.25">
      <c r="G1224" s="218"/>
      <c r="H1224" s="218"/>
      <c r="I1224" s="217"/>
    </row>
    <row r="1225" spans="1:9" ht="18.75" x14ac:dyDescent="0.3">
      <c r="A1225" s="713" t="s">
        <v>1034</v>
      </c>
      <c r="B1225" s="714"/>
      <c r="C1225" s="714"/>
      <c r="D1225" s="714"/>
      <c r="E1225" s="714"/>
      <c r="F1225" s="714"/>
      <c r="G1225" s="714"/>
      <c r="H1225" s="218"/>
      <c r="I1225" s="217"/>
    </row>
    <row r="1226" spans="1:9" x14ac:dyDescent="0.25">
      <c r="G1226" s="218"/>
      <c r="H1226" s="218"/>
      <c r="I1226" s="217"/>
    </row>
    <row r="1227" spans="1:9" x14ac:dyDescent="0.25">
      <c r="G1227" s="218"/>
      <c r="H1227" s="218"/>
      <c r="I1227" s="217"/>
    </row>
    <row r="1228" spans="1:9" x14ac:dyDescent="0.25">
      <c r="G1228" s="218"/>
      <c r="H1228" s="218"/>
      <c r="I1228" s="217"/>
    </row>
    <row r="1229" spans="1:9" x14ac:dyDescent="0.25">
      <c r="G1229" s="218"/>
      <c r="H1229" s="218"/>
      <c r="I1229" s="217"/>
    </row>
    <row r="1230" spans="1:9" ht="18.75" x14ac:dyDescent="0.3">
      <c r="A1230" s="435" t="s">
        <v>19</v>
      </c>
      <c r="B1230" s="435"/>
      <c r="C1230" s="798" t="s">
        <v>1043</v>
      </c>
      <c r="D1230" s="798"/>
      <c r="E1230" s="798"/>
      <c r="F1230" s="748"/>
      <c r="G1230" s="748"/>
      <c r="H1230" s="439"/>
      <c r="I1230" s="439"/>
    </row>
    <row r="1231" spans="1:9" ht="18.75" x14ac:dyDescent="0.3">
      <c r="A1231" s="436" t="s">
        <v>675</v>
      </c>
      <c r="B1231" s="435"/>
      <c r="C1231" s="799" t="s">
        <v>683</v>
      </c>
      <c r="D1231" s="799"/>
      <c r="E1231" s="799"/>
      <c r="F1231" s="799"/>
      <c r="G1231" s="799"/>
      <c r="H1231" s="799"/>
      <c r="I1231" s="799"/>
    </row>
    <row r="1232" spans="1:9" ht="18.75" x14ac:dyDescent="0.3">
      <c r="A1232" s="800" t="s">
        <v>677</v>
      </c>
      <c r="B1232" s="800"/>
      <c r="C1232" s="799" t="s">
        <v>1046</v>
      </c>
      <c r="D1232" s="799"/>
      <c r="E1232" s="799"/>
      <c r="F1232" s="748"/>
      <c r="G1232" s="748"/>
      <c r="H1232" s="437"/>
      <c r="I1232" s="437"/>
    </row>
    <row r="1233" spans="1:9" x14ac:dyDescent="0.25">
      <c r="A1233" s="801" t="s">
        <v>23</v>
      </c>
      <c r="B1233" s="801" t="s">
        <v>30</v>
      </c>
      <c r="C1233" s="811" t="s">
        <v>75</v>
      </c>
      <c r="D1233" s="814" t="s">
        <v>1037</v>
      </c>
      <c r="E1233" s="801" t="s">
        <v>1038</v>
      </c>
      <c r="F1233" s="814" t="s">
        <v>1039</v>
      </c>
      <c r="G1233" s="814" t="s">
        <v>1040</v>
      </c>
      <c r="H1233" s="801" t="s">
        <v>1041</v>
      </c>
      <c r="I1233" s="803" t="s">
        <v>31</v>
      </c>
    </row>
    <row r="1234" spans="1:9" x14ac:dyDescent="0.25">
      <c r="A1234" s="801"/>
      <c r="B1234" s="801"/>
      <c r="C1234" s="812"/>
      <c r="D1234" s="815"/>
      <c r="E1234" s="801"/>
      <c r="F1234" s="815"/>
      <c r="G1234" s="815"/>
      <c r="H1234" s="801"/>
      <c r="I1234" s="806"/>
    </row>
    <row r="1235" spans="1:9" x14ac:dyDescent="0.25">
      <c r="A1235" s="801"/>
      <c r="B1235" s="801"/>
      <c r="C1235" s="813"/>
      <c r="D1235" s="816"/>
      <c r="E1235" s="801"/>
      <c r="F1235" s="816"/>
      <c r="G1235" s="816"/>
      <c r="H1235" s="801"/>
      <c r="I1235" s="809"/>
    </row>
    <row r="1236" spans="1:9" x14ac:dyDescent="0.25">
      <c r="A1236" s="749">
        <v>1</v>
      </c>
      <c r="B1236" s="749">
        <v>2</v>
      </c>
      <c r="C1236" s="749">
        <v>3</v>
      </c>
      <c r="D1236" s="749"/>
      <c r="E1236" s="749">
        <v>4</v>
      </c>
      <c r="F1236" s="749"/>
      <c r="G1236" s="749"/>
      <c r="H1236" s="749">
        <v>5</v>
      </c>
      <c r="I1236" s="749">
        <v>6</v>
      </c>
    </row>
    <row r="1237" spans="1:9" ht="236.25" x14ac:dyDescent="0.25">
      <c r="A1237" s="747">
        <v>1</v>
      </c>
      <c r="B1237" s="750" t="s">
        <v>1045</v>
      </c>
      <c r="C1237" s="747">
        <v>1</v>
      </c>
      <c r="D1237" s="747">
        <v>5</v>
      </c>
      <c r="E1237" s="448">
        <v>91.15</v>
      </c>
      <c r="F1237" s="751">
        <v>7</v>
      </c>
      <c r="G1237" s="448">
        <v>136.72999999999999</v>
      </c>
      <c r="H1237" s="751">
        <v>96</v>
      </c>
      <c r="I1237" s="448">
        <v>42220.83</v>
      </c>
    </row>
    <row r="1238" spans="1:9" x14ac:dyDescent="0.25">
      <c r="A1238" s="797" t="s">
        <v>344</v>
      </c>
      <c r="B1238" s="797"/>
      <c r="C1238" s="747"/>
      <c r="D1238" s="747"/>
      <c r="E1238" s="448"/>
      <c r="F1238" s="448"/>
      <c r="G1238" s="448"/>
      <c r="H1238" s="448"/>
      <c r="I1238" s="448">
        <f>SUM(I1237:I1237)</f>
        <v>42220.83</v>
      </c>
    </row>
    <row r="1239" spans="1:9" x14ac:dyDescent="0.25">
      <c r="G1239" s="218"/>
      <c r="H1239" s="218"/>
      <c r="I1239" s="217"/>
    </row>
    <row r="1240" spans="1:9" x14ac:dyDescent="0.25">
      <c r="G1240" s="218"/>
      <c r="H1240" s="218"/>
      <c r="I1240" s="217"/>
    </row>
    <row r="1241" spans="1:9" x14ac:dyDescent="0.25">
      <c r="G1241" s="218"/>
      <c r="H1241" s="218"/>
      <c r="I1241" s="217"/>
    </row>
    <row r="1242" spans="1:9" ht="18.75" x14ac:dyDescent="0.3">
      <c r="A1242" s="713" t="s">
        <v>1034</v>
      </c>
      <c r="B1242" s="714"/>
      <c r="C1242" s="714"/>
      <c r="D1242" s="714"/>
      <c r="E1242" s="714"/>
      <c r="F1242" s="714"/>
      <c r="G1242" s="714"/>
      <c r="H1242" s="218"/>
      <c r="I1242" s="217"/>
    </row>
    <row r="1243" spans="1:9" x14ac:dyDescent="0.25">
      <c r="G1243" s="218"/>
      <c r="H1243" s="218"/>
      <c r="I1243" s="217"/>
    </row>
    <row r="1244" spans="1:9" x14ac:dyDescent="0.25">
      <c r="G1244" s="218"/>
      <c r="H1244" s="218"/>
      <c r="I1244" s="217"/>
    </row>
    <row r="1245" spans="1:9" x14ac:dyDescent="0.25">
      <c r="G1245" s="218"/>
      <c r="H1245" s="218"/>
      <c r="I1245" s="217"/>
    </row>
    <row r="1246" spans="1:9" x14ac:dyDescent="0.25">
      <c r="G1246" s="218"/>
      <c r="H1246" s="218"/>
      <c r="I1246" s="217"/>
    </row>
    <row r="1247" spans="1:9" ht="18.75" x14ac:dyDescent="0.3">
      <c r="A1247" s="435" t="s">
        <v>19</v>
      </c>
      <c r="B1247" s="435"/>
      <c r="C1247" s="798" t="s">
        <v>1043</v>
      </c>
      <c r="D1247" s="798"/>
      <c r="E1247" s="798"/>
      <c r="F1247" s="748"/>
      <c r="G1247" s="748"/>
      <c r="H1247" s="439"/>
      <c r="I1247" s="439"/>
    </row>
    <row r="1248" spans="1:9" ht="18.75" x14ac:dyDescent="0.3">
      <c r="A1248" s="436" t="s">
        <v>675</v>
      </c>
      <c r="B1248" s="435"/>
      <c r="C1248" s="799" t="s">
        <v>683</v>
      </c>
      <c r="D1248" s="799"/>
      <c r="E1248" s="799"/>
      <c r="F1248" s="799"/>
      <c r="G1248" s="799"/>
      <c r="H1248" s="799"/>
      <c r="I1248" s="799"/>
    </row>
    <row r="1249" spans="1:9" ht="18.75" x14ac:dyDescent="0.3">
      <c r="A1249" s="800" t="s">
        <v>677</v>
      </c>
      <c r="B1249" s="800"/>
      <c r="C1249" s="799" t="s">
        <v>1047</v>
      </c>
      <c r="D1249" s="799"/>
      <c r="E1249" s="799"/>
      <c r="F1249" s="748"/>
      <c r="G1249" s="748"/>
      <c r="H1249" s="437"/>
      <c r="I1249" s="437"/>
    </row>
    <row r="1250" spans="1:9" x14ac:dyDescent="0.25">
      <c r="A1250" s="801" t="s">
        <v>23</v>
      </c>
      <c r="B1250" s="801" t="s">
        <v>30</v>
      </c>
      <c r="C1250" s="802" t="s">
        <v>1048</v>
      </c>
      <c r="D1250" s="803"/>
      <c r="E1250" s="803"/>
      <c r="F1250" s="803"/>
      <c r="G1250" s="803"/>
      <c r="H1250" s="804"/>
      <c r="I1250" s="803" t="s">
        <v>31</v>
      </c>
    </row>
    <row r="1251" spans="1:9" x14ac:dyDescent="0.25">
      <c r="A1251" s="801"/>
      <c r="B1251" s="801"/>
      <c r="C1251" s="805"/>
      <c r="D1251" s="806"/>
      <c r="E1251" s="806"/>
      <c r="F1251" s="806"/>
      <c r="G1251" s="806"/>
      <c r="H1251" s="807"/>
      <c r="I1251" s="806"/>
    </row>
    <row r="1252" spans="1:9" x14ac:dyDescent="0.25">
      <c r="A1252" s="801"/>
      <c r="B1252" s="801"/>
      <c r="C1252" s="805"/>
      <c r="D1252" s="806"/>
      <c r="E1252" s="806"/>
      <c r="F1252" s="806"/>
      <c r="G1252" s="806"/>
      <c r="H1252" s="807"/>
      <c r="I1252" s="809"/>
    </row>
    <row r="1253" spans="1:9" x14ac:dyDescent="0.25">
      <c r="A1253" s="749">
        <v>1</v>
      </c>
      <c r="B1253" s="749">
        <v>2</v>
      </c>
      <c r="C1253" s="808"/>
      <c r="D1253" s="809"/>
      <c r="E1253" s="809"/>
      <c r="F1253" s="809"/>
      <c r="G1253" s="809"/>
      <c r="H1253" s="810"/>
      <c r="I1253" s="749">
        <v>6</v>
      </c>
    </row>
    <row r="1254" spans="1:9" ht="236.25" x14ac:dyDescent="0.25">
      <c r="A1254" s="747">
        <v>1</v>
      </c>
      <c r="B1254" s="750" t="s">
        <v>1045</v>
      </c>
      <c r="C1254" s="794"/>
      <c r="D1254" s="795"/>
      <c r="E1254" s="795"/>
      <c r="F1254" s="795"/>
      <c r="G1254" s="795"/>
      <c r="H1254" s="796"/>
      <c r="I1254" s="448">
        <v>405.14</v>
      </c>
    </row>
    <row r="1255" spans="1:9" x14ac:dyDescent="0.25">
      <c r="A1255" s="797" t="s">
        <v>344</v>
      </c>
      <c r="B1255" s="797"/>
      <c r="C1255" s="794"/>
      <c r="D1255" s="795"/>
      <c r="E1255" s="795"/>
      <c r="F1255" s="795"/>
      <c r="G1255" s="795"/>
      <c r="H1255" s="796"/>
      <c r="I1255" s="448">
        <f>SUM(I1254:I1254)</f>
        <v>405.14</v>
      </c>
    </row>
    <row r="1256" spans="1:9" x14ac:dyDescent="0.25">
      <c r="G1256" s="218"/>
      <c r="H1256" s="218"/>
      <c r="I1256" s="217"/>
    </row>
    <row r="1257" spans="1:9" x14ac:dyDescent="0.25">
      <c r="G1257" s="218"/>
      <c r="H1257" s="218"/>
      <c r="I1257" s="217"/>
    </row>
  </sheetData>
  <mergeCells count="566">
    <mergeCell ref="B642:E642"/>
    <mergeCell ref="A1168:I1168"/>
    <mergeCell ref="A1169:F1169"/>
    <mergeCell ref="G1169:I1169"/>
    <mergeCell ref="A1176:E1176"/>
    <mergeCell ref="C1156:E1156"/>
    <mergeCell ref="A1159:E1161"/>
    <mergeCell ref="A1162:D1162"/>
    <mergeCell ref="A1163:D1163"/>
    <mergeCell ref="A1164:D1164"/>
    <mergeCell ref="A1140:B1140"/>
    <mergeCell ref="C1122:D1122"/>
    <mergeCell ref="C1123:F1123"/>
    <mergeCell ref="A1124:B1124"/>
    <mergeCell ref="C1124:D1124"/>
    <mergeCell ref="C1132:D1132"/>
    <mergeCell ref="C1133:F1133"/>
    <mergeCell ref="A1134:B1134"/>
    <mergeCell ref="C1134:D1134"/>
    <mergeCell ref="A1136:A1137"/>
    <mergeCell ref="B1136:B1137"/>
    <mergeCell ref="C1136:C1137"/>
    <mergeCell ref="D1136:D1137"/>
    <mergeCell ref="E1136:E1137"/>
    <mergeCell ref="F1136:F1137"/>
    <mergeCell ref="G1012:G1013"/>
    <mergeCell ref="B1015:F1015"/>
    <mergeCell ref="B1016:F1016"/>
    <mergeCell ref="A1017:F1017"/>
    <mergeCell ref="C1023:D1023"/>
    <mergeCell ref="C1024:F1024"/>
    <mergeCell ref="A1025:B1025"/>
    <mergeCell ref="C1025:D1025"/>
    <mergeCell ref="A1027:F1028"/>
    <mergeCell ref="A1012:A1013"/>
    <mergeCell ref="B1012:B1013"/>
    <mergeCell ref="C1012:C1013"/>
    <mergeCell ref="D1012:D1013"/>
    <mergeCell ref="E1012:E1013"/>
    <mergeCell ref="F1012:F1013"/>
    <mergeCell ref="A1010:B1010"/>
    <mergeCell ref="C1010:E1010"/>
    <mergeCell ref="C633:F633"/>
    <mergeCell ref="A1029:A1030"/>
    <mergeCell ref="B1029:B1030"/>
    <mergeCell ref="C1029:C1030"/>
    <mergeCell ref="D1029:D1030"/>
    <mergeCell ref="E1029:E1030"/>
    <mergeCell ref="A1035:B1035"/>
    <mergeCell ref="A998:B998"/>
    <mergeCell ref="C998:D998"/>
    <mergeCell ref="C997:F997"/>
    <mergeCell ref="A1000:A1001"/>
    <mergeCell ref="B1000:B1001"/>
    <mergeCell ref="C1000:C1001"/>
    <mergeCell ref="D1000:D1001"/>
    <mergeCell ref="E1000:E1001"/>
    <mergeCell ref="F1000:F1001"/>
    <mergeCell ref="B1004:E1004"/>
    <mergeCell ref="C1009:E1009"/>
    <mergeCell ref="A915:A917"/>
    <mergeCell ref="B915:B917"/>
    <mergeCell ref="C915:C917"/>
    <mergeCell ref="D915:I915"/>
    <mergeCell ref="J915:J917"/>
    <mergeCell ref="D916:D917"/>
    <mergeCell ref="E916:I916"/>
    <mergeCell ref="A845:B845"/>
    <mergeCell ref="C826:E826"/>
    <mergeCell ref="C827:E827"/>
    <mergeCell ref="C848:D848"/>
    <mergeCell ref="A868:B868"/>
    <mergeCell ref="A878:A880"/>
    <mergeCell ref="B878:B880"/>
    <mergeCell ref="C878:C880"/>
    <mergeCell ref="D878:I878"/>
    <mergeCell ref="J878:J880"/>
    <mergeCell ref="D879:D880"/>
    <mergeCell ref="E879:I879"/>
    <mergeCell ref="J899:J901"/>
    <mergeCell ref="A899:A901"/>
    <mergeCell ref="B899:B901"/>
    <mergeCell ref="C899:C901"/>
    <mergeCell ref="D899:I899"/>
    <mergeCell ref="D900:D901"/>
    <mergeCell ref="E900:I900"/>
    <mergeCell ref="A794:G794"/>
    <mergeCell ref="C797:F797"/>
    <mergeCell ref="A798:B798"/>
    <mergeCell ref="C798:D798"/>
    <mergeCell ref="A803:A804"/>
    <mergeCell ref="B803:B804"/>
    <mergeCell ref="C803:C804"/>
    <mergeCell ref="D803:D804"/>
    <mergeCell ref="A808:B808"/>
    <mergeCell ref="C796:E796"/>
    <mergeCell ref="D812:F812"/>
    <mergeCell ref="A822:B822"/>
    <mergeCell ref="D811:F811"/>
    <mergeCell ref="C825:D825"/>
    <mergeCell ref="J782:J784"/>
    <mergeCell ref="D783:D784"/>
    <mergeCell ref="E783:I783"/>
    <mergeCell ref="B656:C656"/>
    <mergeCell ref="A657:C657"/>
    <mergeCell ref="C722:D722"/>
    <mergeCell ref="A742:B742"/>
    <mergeCell ref="C723:E723"/>
    <mergeCell ref="C724:D724"/>
    <mergeCell ref="D749:E749"/>
    <mergeCell ref="D750:F750"/>
    <mergeCell ref="A759:B759"/>
    <mergeCell ref="B762:F763"/>
    <mergeCell ref="D765:E765"/>
    <mergeCell ref="D766:F766"/>
    <mergeCell ref="A715:B715"/>
    <mergeCell ref="C696:E696"/>
    <mergeCell ref="C697:D697"/>
    <mergeCell ref="C695:E695"/>
    <mergeCell ref="A775:B775"/>
    <mergeCell ref="A782:A784"/>
    <mergeCell ref="B782:B784"/>
    <mergeCell ref="C782:C784"/>
    <mergeCell ref="D782:I782"/>
    <mergeCell ref="B600:B601"/>
    <mergeCell ref="C600:C601"/>
    <mergeCell ref="D600:D601"/>
    <mergeCell ref="A604:B604"/>
    <mergeCell ref="C609:D609"/>
    <mergeCell ref="C610:E610"/>
    <mergeCell ref="D650:F650"/>
    <mergeCell ref="A661:F664"/>
    <mergeCell ref="A686:B686"/>
    <mergeCell ref="C666:E666"/>
    <mergeCell ref="C667:E667"/>
    <mergeCell ref="C668:D668"/>
    <mergeCell ref="A615:B615"/>
    <mergeCell ref="A614:C614"/>
    <mergeCell ref="A621:I621"/>
    <mergeCell ref="A619:I619"/>
    <mergeCell ref="A620:I620"/>
    <mergeCell ref="A600:A601"/>
    <mergeCell ref="A646:C646"/>
    <mergeCell ref="D651:F651"/>
    <mergeCell ref="B654:C654"/>
    <mergeCell ref="B655:C655"/>
    <mergeCell ref="D639:E639"/>
    <mergeCell ref="D640:F640"/>
    <mergeCell ref="B567:F567"/>
    <mergeCell ref="D570:F570"/>
    <mergeCell ref="B573:C573"/>
    <mergeCell ref="B574:C574"/>
    <mergeCell ref="B575:C575"/>
    <mergeCell ref="A576:C576"/>
    <mergeCell ref="D569:F569"/>
    <mergeCell ref="A580:F580"/>
    <mergeCell ref="C582:D582"/>
    <mergeCell ref="C583:E583"/>
    <mergeCell ref="A586:A587"/>
    <mergeCell ref="B586:B587"/>
    <mergeCell ref="C586:C587"/>
    <mergeCell ref="D586:D587"/>
    <mergeCell ref="E586:E587"/>
    <mergeCell ref="A592:B592"/>
    <mergeCell ref="C596:D596"/>
    <mergeCell ref="C597:E597"/>
    <mergeCell ref="B643:C643"/>
    <mergeCell ref="B644:C644"/>
    <mergeCell ref="B552:C552"/>
    <mergeCell ref="B553:C553"/>
    <mergeCell ref="A554:C554"/>
    <mergeCell ref="D547:F547"/>
    <mergeCell ref="A560:I560"/>
    <mergeCell ref="A557:I557"/>
    <mergeCell ref="A558:I558"/>
    <mergeCell ref="A538:B538"/>
    <mergeCell ref="C538:D538"/>
    <mergeCell ref="A540:A541"/>
    <mergeCell ref="B540:B541"/>
    <mergeCell ref="C540:C541"/>
    <mergeCell ref="D540:D541"/>
    <mergeCell ref="E540:E541"/>
    <mergeCell ref="A544:B544"/>
    <mergeCell ref="C522:D522"/>
    <mergeCell ref="A524:A525"/>
    <mergeCell ref="B524:B525"/>
    <mergeCell ref="C524:C525"/>
    <mergeCell ref="D524:D525"/>
    <mergeCell ref="E524:E525"/>
    <mergeCell ref="F524:F525"/>
    <mergeCell ref="D548:F548"/>
    <mergeCell ref="B551:C551"/>
    <mergeCell ref="C536:E536"/>
    <mergeCell ref="A528:B528"/>
    <mergeCell ref="A532:F533"/>
    <mergeCell ref="A535:F535"/>
    <mergeCell ref="C537:F537"/>
    <mergeCell ref="A522:B522"/>
    <mergeCell ref="B523:E523"/>
    <mergeCell ref="A512:B512"/>
    <mergeCell ref="C520:D520"/>
    <mergeCell ref="C521:F521"/>
    <mergeCell ref="A489:B489"/>
    <mergeCell ref="B488:D488"/>
    <mergeCell ref="C494:D494"/>
    <mergeCell ref="C495:F495"/>
    <mergeCell ref="A496:B496"/>
    <mergeCell ref="C496:D496"/>
    <mergeCell ref="C504:D504"/>
    <mergeCell ref="C505:F505"/>
    <mergeCell ref="A506:B506"/>
    <mergeCell ref="C506:D506"/>
    <mergeCell ref="B497:D497"/>
    <mergeCell ref="E385:E386"/>
    <mergeCell ref="A389:B389"/>
    <mergeCell ref="A508:A509"/>
    <mergeCell ref="B508:B509"/>
    <mergeCell ref="C508:C509"/>
    <mergeCell ref="D508:D509"/>
    <mergeCell ref="E508:E509"/>
    <mergeCell ref="A393:F393"/>
    <mergeCell ref="A392:F392"/>
    <mergeCell ref="B471:G471"/>
    <mergeCell ref="B472:G472"/>
    <mergeCell ref="C473:D473"/>
    <mergeCell ref="B442:G442"/>
    <mergeCell ref="B443:G443"/>
    <mergeCell ref="D444:E444"/>
    <mergeCell ref="A449:F449"/>
    <mergeCell ref="C394:E394"/>
    <mergeCell ref="A441:E441"/>
    <mergeCell ref="F508:F509"/>
    <mergeCell ref="A470:F470"/>
    <mergeCell ref="B486:D486"/>
    <mergeCell ref="A299:B299"/>
    <mergeCell ref="C289:E289"/>
    <mergeCell ref="A302:H302"/>
    <mergeCell ref="C305:F305"/>
    <mergeCell ref="A279:A280"/>
    <mergeCell ref="B279:B280"/>
    <mergeCell ref="C279:C280"/>
    <mergeCell ref="D279:D280"/>
    <mergeCell ref="E279:E280"/>
    <mergeCell ref="F279:F280"/>
    <mergeCell ref="C304:F304"/>
    <mergeCell ref="A284:B284"/>
    <mergeCell ref="A287:F287"/>
    <mergeCell ref="C290:F290"/>
    <mergeCell ref="A291:B291"/>
    <mergeCell ref="C291:D291"/>
    <mergeCell ref="A293:A294"/>
    <mergeCell ref="B293:B294"/>
    <mergeCell ref="C293:C294"/>
    <mergeCell ref="D293:D294"/>
    <mergeCell ref="E293:E294"/>
    <mergeCell ref="E240:E241"/>
    <mergeCell ref="A255:E255"/>
    <mergeCell ref="B258:F258"/>
    <mergeCell ref="D261:F261"/>
    <mergeCell ref="A267:B267"/>
    <mergeCell ref="A277:B277"/>
    <mergeCell ref="D260:F260"/>
    <mergeCell ref="A270:G270"/>
    <mergeCell ref="A273:G273"/>
    <mergeCell ref="C276:F276"/>
    <mergeCell ref="C277:D277"/>
    <mergeCell ref="A245:B245"/>
    <mergeCell ref="C275:E275"/>
    <mergeCell ref="C234:E234"/>
    <mergeCell ref="A248:L248"/>
    <mergeCell ref="F249:I249"/>
    <mergeCell ref="A251:E251"/>
    <mergeCell ref="A252:I252"/>
    <mergeCell ref="A254:E254"/>
    <mergeCell ref="A180:B180"/>
    <mergeCell ref="C180:D180"/>
    <mergeCell ref="A182:F183"/>
    <mergeCell ref="A184:A185"/>
    <mergeCell ref="B184:B185"/>
    <mergeCell ref="C184:C185"/>
    <mergeCell ref="D184:D185"/>
    <mergeCell ref="E184:E185"/>
    <mergeCell ref="A190:B190"/>
    <mergeCell ref="A229:B229"/>
    <mergeCell ref="C235:F235"/>
    <mergeCell ref="A236:B236"/>
    <mergeCell ref="C236:D236"/>
    <mergeCell ref="A238:F239"/>
    <mergeCell ref="A240:A241"/>
    <mergeCell ref="B240:B241"/>
    <mergeCell ref="C240:C241"/>
    <mergeCell ref="D240:D241"/>
    <mergeCell ref="C178:F178"/>
    <mergeCell ref="A193:F194"/>
    <mergeCell ref="A196:F197"/>
    <mergeCell ref="A199:A200"/>
    <mergeCell ref="B199:B200"/>
    <mergeCell ref="C199:C200"/>
    <mergeCell ref="D199:D200"/>
    <mergeCell ref="E199:E200"/>
    <mergeCell ref="A158:B158"/>
    <mergeCell ref="A161:G161"/>
    <mergeCell ref="C164:F164"/>
    <mergeCell ref="A165:B165"/>
    <mergeCell ref="C165:D165"/>
    <mergeCell ref="A167:G167"/>
    <mergeCell ref="A169:A170"/>
    <mergeCell ref="B169:B170"/>
    <mergeCell ref="C169:C170"/>
    <mergeCell ref="D169:D170"/>
    <mergeCell ref="E169:E170"/>
    <mergeCell ref="F169:F170"/>
    <mergeCell ref="A173:B173"/>
    <mergeCell ref="C163:E163"/>
    <mergeCell ref="C179:F179"/>
    <mergeCell ref="B198:C198"/>
    <mergeCell ref="F139:I139"/>
    <mergeCell ref="A141:E141"/>
    <mergeCell ref="A142:I142"/>
    <mergeCell ref="A144:E144"/>
    <mergeCell ref="A145:E145"/>
    <mergeCell ref="D148:E148"/>
    <mergeCell ref="D149:F149"/>
    <mergeCell ref="A97:B97"/>
    <mergeCell ref="B111:D111"/>
    <mergeCell ref="A112:A113"/>
    <mergeCell ref="B112:B113"/>
    <mergeCell ref="C112:C113"/>
    <mergeCell ref="D112:D113"/>
    <mergeCell ref="A120:B120"/>
    <mergeCell ref="A123:F124"/>
    <mergeCell ref="A126:F127"/>
    <mergeCell ref="C128:E128"/>
    <mergeCell ref="A129:A130"/>
    <mergeCell ref="B129:B130"/>
    <mergeCell ref="C129:C130"/>
    <mergeCell ref="D129:D130"/>
    <mergeCell ref="E129:E130"/>
    <mergeCell ref="A134:B134"/>
    <mergeCell ref="A100:F100"/>
    <mergeCell ref="A103:A104"/>
    <mergeCell ref="B103:B104"/>
    <mergeCell ref="C103:C104"/>
    <mergeCell ref="D103:D104"/>
    <mergeCell ref="E103:E104"/>
    <mergeCell ref="A107:B107"/>
    <mergeCell ref="C102:E102"/>
    <mergeCell ref="A138:L138"/>
    <mergeCell ref="F59:I59"/>
    <mergeCell ref="A61:E61"/>
    <mergeCell ref="A62:I62"/>
    <mergeCell ref="A64:E64"/>
    <mergeCell ref="A65:E65"/>
    <mergeCell ref="B67:F68"/>
    <mergeCell ref="D70:E70"/>
    <mergeCell ref="D71:F71"/>
    <mergeCell ref="A81:B81"/>
    <mergeCell ref="A84:G84"/>
    <mergeCell ref="C87:F87"/>
    <mergeCell ref="A88:B88"/>
    <mergeCell ref="C88:D88"/>
    <mergeCell ref="A90:G90"/>
    <mergeCell ref="A92:A93"/>
    <mergeCell ref="B92:B93"/>
    <mergeCell ref="C92:C93"/>
    <mergeCell ref="D92:D93"/>
    <mergeCell ref="E92:E93"/>
    <mergeCell ref="F92:F93"/>
    <mergeCell ref="C86:F86"/>
    <mergeCell ref="A25:B25"/>
    <mergeCell ref="C15:F15"/>
    <mergeCell ref="B30:D30"/>
    <mergeCell ref="A31:A32"/>
    <mergeCell ref="B31:B32"/>
    <mergeCell ref="C31:C32"/>
    <mergeCell ref="D31:D32"/>
    <mergeCell ref="A36:B36"/>
    <mergeCell ref="A39:F40"/>
    <mergeCell ref="C21:C22"/>
    <mergeCell ref="D21:D22"/>
    <mergeCell ref="E21:E22"/>
    <mergeCell ref="F21:F22"/>
    <mergeCell ref="B41:D41"/>
    <mergeCell ref="A42:A43"/>
    <mergeCell ref="B42:B43"/>
    <mergeCell ref="C42:C43"/>
    <mergeCell ref="D42:D43"/>
    <mergeCell ref="E42:E43"/>
    <mergeCell ref="A54:B54"/>
    <mergeCell ref="A58:L58"/>
    <mergeCell ref="C3:F3"/>
    <mergeCell ref="C4:F4"/>
    <mergeCell ref="A5:B5"/>
    <mergeCell ref="C5:D5"/>
    <mergeCell ref="B6:D6"/>
    <mergeCell ref="C7:E7"/>
    <mergeCell ref="C8:E8"/>
    <mergeCell ref="A9:B9"/>
    <mergeCell ref="C9:E9"/>
    <mergeCell ref="A13:G13"/>
    <mergeCell ref="C16:F16"/>
    <mergeCell ref="A17:B17"/>
    <mergeCell ref="C17:D17"/>
    <mergeCell ref="A19:G19"/>
    <mergeCell ref="A21:A22"/>
    <mergeCell ref="B21:B22"/>
    <mergeCell ref="A306:B306"/>
    <mergeCell ref="C306:D306"/>
    <mergeCell ref="A308:A309"/>
    <mergeCell ref="B308:B309"/>
    <mergeCell ref="C308:C309"/>
    <mergeCell ref="D308:D309"/>
    <mergeCell ref="E308:E309"/>
    <mergeCell ref="A632:I632"/>
    <mergeCell ref="A636:D636"/>
    <mergeCell ref="A630:I630"/>
    <mergeCell ref="A631:I631"/>
    <mergeCell ref="D369:F369"/>
    <mergeCell ref="D381:F381"/>
    <mergeCell ref="D382:F382"/>
    <mergeCell ref="C325:F325"/>
    <mergeCell ref="A326:B326"/>
    <mergeCell ref="C326:D326"/>
    <mergeCell ref="A338:B338"/>
    <mergeCell ref="C324:F324"/>
    <mergeCell ref="C344:F344"/>
    <mergeCell ref="A345:B345"/>
    <mergeCell ref="C345:D345"/>
    <mergeCell ref="A347:A348"/>
    <mergeCell ref="B347:B348"/>
    <mergeCell ref="B645:C645"/>
    <mergeCell ref="F308:F309"/>
    <mergeCell ref="A316:B316"/>
    <mergeCell ref="H928:J929"/>
    <mergeCell ref="H930:J931"/>
    <mergeCell ref="C849:E849"/>
    <mergeCell ref="C850:D850"/>
    <mergeCell ref="C347:C348"/>
    <mergeCell ref="D347:D348"/>
    <mergeCell ref="E347:E348"/>
    <mergeCell ref="F347:F348"/>
    <mergeCell ref="A363:B363"/>
    <mergeCell ref="C343:E343"/>
    <mergeCell ref="D483:F483"/>
    <mergeCell ref="D484:F484"/>
    <mergeCell ref="D485:E485"/>
    <mergeCell ref="D370:E370"/>
    <mergeCell ref="D371:E371"/>
    <mergeCell ref="A376:B376"/>
    <mergeCell ref="D383:E383"/>
    <mergeCell ref="A385:A386"/>
    <mergeCell ref="B385:B386"/>
    <mergeCell ref="C385:C386"/>
    <mergeCell ref="D385:D386"/>
    <mergeCell ref="C1040:D1040"/>
    <mergeCell ref="C1041:E1041"/>
    <mergeCell ref="C1042:D1042"/>
    <mergeCell ref="A1060:B1060"/>
    <mergeCell ref="C1062:D1062"/>
    <mergeCell ref="C1063:E1063"/>
    <mergeCell ref="A934:K935"/>
    <mergeCell ref="A937:I937"/>
    <mergeCell ref="C938:H938"/>
    <mergeCell ref="A944:A946"/>
    <mergeCell ref="B944:B946"/>
    <mergeCell ref="C944:C946"/>
    <mergeCell ref="D944:I944"/>
    <mergeCell ref="J944:J946"/>
    <mergeCell ref="D945:D946"/>
    <mergeCell ref="E945:I945"/>
    <mergeCell ref="A966:A967"/>
    <mergeCell ref="B966:B967"/>
    <mergeCell ref="C966:C967"/>
    <mergeCell ref="D966:D967"/>
    <mergeCell ref="A974:B974"/>
    <mergeCell ref="B964:C964"/>
    <mergeCell ref="B965:C965"/>
    <mergeCell ref="C996:E996"/>
    <mergeCell ref="C1096:E1096"/>
    <mergeCell ref="C1097:G1097"/>
    <mergeCell ref="A1098:B1098"/>
    <mergeCell ref="C1098:E1098"/>
    <mergeCell ref="A1100:A1101"/>
    <mergeCell ref="B1100:B1101"/>
    <mergeCell ref="C1100:C1101"/>
    <mergeCell ref="D1100:D1101"/>
    <mergeCell ref="E1100:E1101"/>
    <mergeCell ref="F1100:F1101"/>
    <mergeCell ref="G1100:G1101"/>
    <mergeCell ref="C327:D327"/>
    <mergeCell ref="B292:C292"/>
    <mergeCell ref="C1144:E1144"/>
    <mergeCell ref="A1147:E1149"/>
    <mergeCell ref="A1150:D1150"/>
    <mergeCell ref="A1151:D1151"/>
    <mergeCell ref="A1152:D1152"/>
    <mergeCell ref="A1118:B1118"/>
    <mergeCell ref="A1108:I1108"/>
    <mergeCell ref="C1110:D1110"/>
    <mergeCell ref="C1111:F1111"/>
    <mergeCell ref="A1112:B1112"/>
    <mergeCell ref="C1112:D1112"/>
    <mergeCell ref="A1114:A1115"/>
    <mergeCell ref="B1114:B1115"/>
    <mergeCell ref="C1114:C1115"/>
    <mergeCell ref="D1114:D1115"/>
    <mergeCell ref="E1114:E1115"/>
    <mergeCell ref="F1114:F1115"/>
    <mergeCell ref="A1104:B1104"/>
    <mergeCell ref="C1064:E1064"/>
    <mergeCell ref="A1082:B1082"/>
    <mergeCell ref="D1085:E1085"/>
    <mergeCell ref="A1092:B1092"/>
    <mergeCell ref="C1196:E1196"/>
    <mergeCell ref="C1197:I1197"/>
    <mergeCell ref="A1198:B1198"/>
    <mergeCell ref="C1198:E1198"/>
    <mergeCell ref="A1199:A1201"/>
    <mergeCell ref="B1199:B1201"/>
    <mergeCell ref="C1199:C1201"/>
    <mergeCell ref="D1199:D1201"/>
    <mergeCell ref="E1199:E1201"/>
    <mergeCell ref="F1199:F1201"/>
    <mergeCell ref="G1199:G1201"/>
    <mergeCell ref="H1199:H1201"/>
    <mergeCell ref="I1199:I1201"/>
    <mergeCell ref="A1204:B1204"/>
    <mergeCell ref="C1213:E1213"/>
    <mergeCell ref="C1214:I1214"/>
    <mergeCell ref="A1215:B1215"/>
    <mergeCell ref="C1215:E1215"/>
    <mergeCell ref="A1216:A1218"/>
    <mergeCell ref="B1216:B1218"/>
    <mergeCell ref="C1216:C1218"/>
    <mergeCell ref="D1216:D1218"/>
    <mergeCell ref="E1216:E1218"/>
    <mergeCell ref="F1216:F1218"/>
    <mergeCell ref="G1216:G1218"/>
    <mergeCell ref="H1216:H1218"/>
    <mergeCell ref="I1216:I1218"/>
    <mergeCell ref="A1221:B1221"/>
    <mergeCell ref="C1230:E1230"/>
    <mergeCell ref="C1231:I1231"/>
    <mergeCell ref="A1232:B1232"/>
    <mergeCell ref="C1232:E1232"/>
    <mergeCell ref="A1233:A1235"/>
    <mergeCell ref="B1233:B1235"/>
    <mergeCell ref="C1233:C1235"/>
    <mergeCell ref="D1233:D1235"/>
    <mergeCell ref="E1233:E1235"/>
    <mergeCell ref="F1233:F1235"/>
    <mergeCell ref="G1233:G1235"/>
    <mergeCell ref="H1233:H1235"/>
    <mergeCell ref="I1233:I1235"/>
    <mergeCell ref="C1254:H1254"/>
    <mergeCell ref="A1255:B1255"/>
    <mergeCell ref="C1255:H1255"/>
    <mergeCell ref="A1238:B1238"/>
    <mergeCell ref="C1247:E1247"/>
    <mergeCell ref="C1248:I1248"/>
    <mergeCell ref="A1249:B1249"/>
    <mergeCell ref="C1249:E1249"/>
    <mergeCell ref="A1250:A1252"/>
    <mergeCell ref="B1250:B1252"/>
    <mergeCell ref="C1250:H1253"/>
    <mergeCell ref="I1250:I1252"/>
  </mergeCells>
  <phoneticPr fontId="40" type="noConversion"/>
  <pageMargins left="0.31496062992125984" right="0.31496062992125984" top="0.55118110236220474" bottom="0.35433070866141736" header="0" footer="0"/>
  <pageSetup paperSize="9" scale="80" fitToHeight="7" orientation="portrait" r:id="rId1"/>
  <rowBreaks count="8" manualBreakCount="8">
    <brk id="340" min="1" max="10" man="1"/>
    <brk id="846" min="1" max="10" man="1"/>
    <brk id="1024" min="1" max="10" man="1"/>
    <brk id="1061" min="1" max="10" man="1"/>
    <brk id="1092" min="1" max="10" man="1"/>
    <brk id="1102" min="1" max="10" man="1"/>
    <brk id="1167" min="1" max="10" man="1"/>
    <brk id="1223" min="1" max="10" man="1"/>
  </rowBreaks>
  <colBreaks count="1" manualBreakCount="1">
    <brk id="10" max="127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8"/>
  <sheetViews>
    <sheetView topLeftCell="A71" workbookViewId="0">
      <selection activeCell="A210" sqref="A210:I210"/>
    </sheetView>
  </sheetViews>
  <sheetFormatPr defaultRowHeight="15" x14ac:dyDescent="0.25"/>
  <cols>
    <col min="1" max="1" width="32.28515625" customWidth="1"/>
    <col min="2" max="2" width="10.85546875" customWidth="1"/>
    <col min="3" max="3" width="16.85546875" customWidth="1"/>
    <col min="4" max="4" width="17.140625" customWidth="1"/>
    <col min="5" max="5" width="17.42578125" customWidth="1"/>
    <col min="6" max="6" width="13.5703125" customWidth="1"/>
    <col min="7" max="7" width="12.7109375" customWidth="1"/>
    <col min="8" max="8" width="13" customWidth="1"/>
    <col min="9" max="9" width="12.42578125" bestFit="1" customWidth="1"/>
    <col min="10" max="10" width="11.42578125" bestFit="1" customWidth="1"/>
    <col min="11" max="11" width="12.7109375" customWidth="1"/>
    <col min="12" max="12" width="14.42578125" customWidth="1"/>
    <col min="13" max="13" width="10.85546875" customWidth="1"/>
    <col min="14" max="14" width="11.28515625" customWidth="1"/>
  </cols>
  <sheetData>
    <row r="1" spans="1:8" x14ac:dyDescent="0.25">
      <c r="A1" s="921" t="s">
        <v>538</v>
      </c>
      <c r="B1" s="937"/>
      <c r="C1" s="937"/>
      <c r="D1" s="937"/>
      <c r="E1" s="937"/>
      <c r="F1" s="937"/>
    </row>
    <row r="2" spans="1:8" ht="39" customHeight="1" x14ac:dyDescent="0.25">
      <c r="A2" s="937"/>
      <c r="B2" s="937"/>
      <c r="C2" s="937"/>
      <c r="D2" s="937"/>
      <c r="E2" s="937"/>
      <c r="F2" s="937"/>
    </row>
    <row r="5" spans="1:8" ht="75" customHeight="1" x14ac:dyDescent="0.25">
      <c r="A5" s="959" t="s">
        <v>539</v>
      </c>
      <c r="B5" s="959"/>
      <c r="C5" s="959"/>
      <c r="D5" s="959"/>
      <c r="E5" s="959"/>
      <c r="F5" s="959"/>
      <c r="G5" s="959"/>
      <c r="H5" s="959"/>
    </row>
    <row r="6" spans="1:8" ht="15.75" x14ac:dyDescent="0.25">
      <c r="A6" s="944" t="s">
        <v>0</v>
      </c>
      <c r="B6" s="944" t="s">
        <v>16</v>
      </c>
      <c r="C6" s="944" t="s">
        <v>540</v>
      </c>
      <c r="D6" s="944"/>
      <c r="E6" s="944"/>
    </row>
    <row r="7" spans="1:8" ht="15.75" x14ac:dyDescent="0.25">
      <c r="A7" s="944"/>
      <c r="B7" s="944"/>
      <c r="C7" s="283" t="s">
        <v>548</v>
      </c>
      <c r="D7" s="283" t="s">
        <v>549</v>
      </c>
      <c r="E7" s="283" t="s">
        <v>550</v>
      </c>
    </row>
    <row r="8" spans="1:8" ht="47.25" x14ac:dyDescent="0.25">
      <c r="A8" s="944"/>
      <c r="B8" s="944"/>
      <c r="C8" s="283" t="s">
        <v>512</v>
      </c>
      <c r="D8" s="283" t="s">
        <v>513</v>
      </c>
      <c r="E8" s="283" t="s">
        <v>514</v>
      </c>
    </row>
    <row r="9" spans="1:8" ht="15.75" x14ac:dyDescent="0.25">
      <c r="A9" s="283">
        <v>1</v>
      </c>
      <c r="B9" s="283">
        <v>2</v>
      </c>
      <c r="C9" s="283">
        <v>3</v>
      </c>
      <c r="D9" s="283">
        <v>4</v>
      </c>
      <c r="E9" s="283">
        <v>5</v>
      </c>
    </row>
    <row r="10" spans="1:8" ht="42.75" customHeight="1" x14ac:dyDescent="0.25">
      <c r="A10" s="63" t="s">
        <v>541</v>
      </c>
      <c r="B10" s="283">
        <v>100</v>
      </c>
      <c r="C10" s="63"/>
      <c r="D10" s="63"/>
      <c r="E10" s="63"/>
    </row>
    <row r="11" spans="1:8" ht="47.25" x14ac:dyDescent="0.25">
      <c r="A11" s="63" t="s">
        <v>542</v>
      </c>
      <c r="B11" s="283">
        <v>300</v>
      </c>
      <c r="C11" s="63"/>
      <c r="D11" s="63"/>
      <c r="E11" s="63"/>
    </row>
    <row r="12" spans="1:8" ht="15.75" x14ac:dyDescent="0.25">
      <c r="A12" s="63" t="s">
        <v>4</v>
      </c>
      <c r="B12" s="944">
        <v>310</v>
      </c>
      <c r="C12" s="953"/>
      <c r="D12" s="953"/>
      <c r="E12" s="953"/>
    </row>
    <row r="13" spans="1:8" ht="45.75" customHeight="1" x14ac:dyDescent="0.25">
      <c r="A13" s="63" t="s">
        <v>543</v>
      </c>
      <c r="B13" s="944"/>
      <c r="C13" s="953"/>
      <c r="D13" s="953"/>
      <c r="E13" s="953"/>
    </row>
    <row r="14" spans="1:8" ht="63" hidden="1" x14ac:dyDescent="0.25">
      <c r="A14" s="63" t="s">
        <v>544</v>
      </c>
      <c r="B14" s="283">
        <v>320</v>
      </c>
      <c r="C14" s="63"/>
      <c r="D14" s="63"/>
      <c r="E14" s="63"/>
    </row>
    <row r="15" spans="1:8" ht="126" x14ac:dyDescent="0.25">
      <c r="A15" s="63" t="s">
        <v>545</v>
      </c>
      <c r="B15" s="283">
        <v>330</v>
      </c>
      <c r="C15" s="63"/>
      <c r="D15" s="63"/>
      <c r="E15" s="63"/>
    </row>
    <row r="16" spans="1:8" ht="47.25" hidden="1" x14ac:dyDescent="0.25">
      <c r="A16" s="63" t="s">
        <v>546</v>
      </c>
      <c r="B16" s="283">
        <v>400</v>
      </c>
      <c r="C16" s="63"/>
      <c r="D16" s="63"/>
      <c r="E16" s="63"/>
    </row>
    <row r="17" spans="1:11" ht="78.75" x14ac:dyDescent="0.25">
      <c r="A17" s="63" t="s">
        <v>547</v>
      </c>
      <c r="B17" s="283">
        <v>600</v>
      </c>
      <c r="C17" s="63"/>
      <c r="D17" s="63"/>
      <c r="E17" s="63"/>
    </row>
    <row r="20" spans="1:11" ht="15.75" thickBot="1" x14ac:dyDescent="0.3">
      <c r="A20" s="937" t="s">
        <v>551</v>
      </c>
      <c r="B20" s="937"/>
      <c r="C20" s="937"/>
      <c r="D20" s="937"/>
      <c r="E20" s="937"/>
      <c r="F20" s="937"/>
      <c r="G20" s="937"/>
      <c r="H20" s="937"/>
    </row>
    <row r="21" spans="1:11" ht="31.5" customHeight="1" thickBot="1" x14ac:dyDescent="0.3">
      <c r="A21" s="941" t="s">
        <v>0</v>
      </c>
      <c r="B21" s="941" t="s">
        <v>16</v>
      </c>
      <c r="C21" s="938" t="s">
        <v>552</v>
      </c>
      <c r="D21" s="939"/>
      <c r="E21" s="940"/>
      <c r="F21" s="938" t="s">
        <v>553</v>
      </c>
      <c r="G21" s="939"/>
      <c r="H21" s="940"/>
      <c r="I21" s="938" t="s">
        <v>554</v>
      </c>
      <c r="J21" s="939"/>
      <c r="K21" s="940"/>
    </row>
    <row r="22" spans="1:11" ht="16.5" thickBot="1" x14ac:dyDescent="0.3">
      <c r="A22" s="942"/>
      <c r="B22" s="942"/>
      <c r="C22" s="278" t="s">
        <v>548</v>
      </c>
      <c r="D22" s="278" t="s">
        <v>549</v>
      </c>
      <c r="E22" s="278" t="s">
        <v>550</v>
      </c>
      <c r="F22" s="278" t="s">
        <v>548</v>
      </c>
      <c r="G22" s="278" t="s">
        <v>549</v>
      </c>
      <c r="H22" s="278" t="s">
        <v>550</v>
      </c>
      <c r="I22" s="278" t="s">
        <v>548</v>
      </c>
      <c r="J22" s="278" t="s">
        <v>549</v>
      </c>
      <c r="K22" s="278" t="s">
        <v>550</v>
      </c>
    </row>
    <row r="23" spans="1:11" s="286" customFormat="1" ht="34.5" thickBot="1" x14ac:dyDescent="0.25">
      <c r="A23" s="943"/>
      <c r="B23" s="943"/>
      <c r="C23" s="285" t="s">
        <v>512</v>
      </c>
      <c r="D23" s="285" t="s">
        <v>513</v>
      </c>
      <c r="E23" s="285" t="s">
        <v>514</v>
      </c>
      <c r="F23" s="285" t="s">
        <v>512</v>
      </c>
      <c r="G23" s="285" t="s">
        <v>513</v>
      </c>
      <c r="H23" s="285" t="s">
        <v>514</v>
      </c>
      <c r="I23" s="285" t="s">
        <v>512</v>
      </c>
      <c r="J23" s="285" t="s">
        <v>513</v>
      </c>
      <c r="K23" s="285" t="s">
        <v>514</v>
      </c>
    </row>
    <row r="24" spans="1:11" ht="16.5" thickBot="1" x14ac:dyDescent="0.3">
      <c r="A24" s="279">
        <v>1</v>
      </c>
      <c r="B24" s="278">
        <v>2</v>
      </c>
      <c r="C24" s="278">
        <v>3</v>
      </c>
      <c r="D24" s="278">
        <v>4</v>
      </c>
      <c r="E24" s="278">
        <v>5</v>
      </c>
      <c r="F24" s="278">
        <v>6</v>
      </c>
      <c r="G24" s="278">
        <v>7</v>
      </c>
      <c r="H24" s="278">
        <v>8</v>
      </c>
      <c r="I24" s="278">
        <v>9</v>
      </c>
      <c r="J24" s="278">
        <v>10</v>
      </c>
      <c r="K24" s="278">
        <v>11</v>
      </c>
    </row>
    <row r="25" spans="1:11" ht="16.5" thickBot="1" x14ac:dyDescent="0.3">
      <c r="A25" s="280"/>
      <c r="B25" s="278">
        <v>1</v>
      </c>
      <c r="C25" s="281"/>
      <c r="D25" s="281"/>
      <c r="E25" s="281"/>
      <c r="F25" s="281"/>
      <c r="G25" s="281"/>
      <c r="H25" s="281"/>
      <c r="I25" s="281"/>
      <c r="J25" s="281"/>
      <c r="K25" s="281"/>
    </row>
    <row r="26" spans="1:11" ht="16.5" thickBot="1" x14ac:dyDescent="0.3">
      <c r="A26" s="280"/>
      <c r="B26" s="278">
        <v>2</v>
      </c>
      <c r="C26" s="281"/>
      <c r="D26" s="281"/>
      <c r="E26" s="281"/>
      <c r="F26" s="281"/>
      <c r="G26" s="281"/>
      <c r="H26" s="281"/>
      <c r="I26" s="281"/>
      <c r="J26" s="281"/>
      <c r="K26" s="281"/>
    </row>
    <row r="27" spans="1:11" ht="16.5" thickBot="1" x14ac:dyDescent="0.3">
      <c r="A27" s="280"/>
      <c r="B27" s="281"/>
      <c r="C27" s="281"/>
      <c r="D27" s="281"/>
      <c r="E27" s="281"/>
      <c r="F27" s="281"/>
      <c r="G27" s="281"/>
      <c r="H27" s="281"/>
      <c r="I27" s="281"/>
      <c r="J27" s="281"/>
      <c r="K27" s="281"/>
    </row>
    <row r="28" spans="1:11" ht="16.5" thickBot="1" x14ac:dyDescent="0.3">
      <c r="A28" s="280" t="s">
        <v>407</v>
      </c>
      <c r="B28" s="278">
        <v>9000</v>
      </c>
      <c r="C28" s="278" t="s">
        <v>454</v>
      </c>
      <c r="D28" s="278" t="s">
        <v>454</v>
      </c>
      <c r="E28" s="278" t="s">
        <v>454</v>
      </c>
      <c r="F28" s="278" t="s">
        <v>454</v>
      </c>
      <c r="G28" s="278" t="s">
        <v>454</v>
      </c>
      <c r="H28" s="278" t="s">
        <v>454</v>
      </c>
      <c r="I28" s="281"/>
      <c r="J28" s="281"/>
      <c r="K28" s="281"/>
    </row>
    <row r="30" spans="1:11" ht="31.5" customHeight="1" x14ac:dyDescent="0.25">
      <c r="A30" s="921" t="s">
        <v>555</v>
      </c>
      <c r="B30" s="921"/>
      <c r="C30" s="921"/>
      <c r="D30" s="921"/>
      <c r="E30" s="921"/>
      <c r="F30" s="921"/>
      <c r="G30" s="921"/>
      <c r="H30" s="921"/>
      <c r="I30" s="921"/>
    </row>
    <row r="31" spans="1:11" ht="15.75" thickBot="1" x14ac:dyDescent="0.3"/>
    <row r="32" spans="1:11" ht="31.5" customHeight="1" thickBot="1" x14ac:dyDescent="0.3">
      <c r="A32" s="941" t="s">
        <v>0</v>
      </c>
      <c r="B32" s="941" t="s">
        <v>16</v>
      </c>
      <c r="C32" s="938" t="s">
        <v>552</v>
      </c>
      <c r="D32" s="939"/>
      <c r="E32" s="940"/>
      <c r="F32" s="938" t="s">
        <v>553</v>
      </c>
      <c r="G32" s="939"/>
      <c r="H32" s="940"/>
      <c r="I32" s="938" t="s">
        <v>554</v>
      </c>
      <c r="J32" s="939"/>
      <c r="K32" s="940"/>
    </row>
    <row r="33" spans="1:11" ht="16.5" thickBot="1" x14ac:dyDescent="0.3">
      <c r="A33" s="942"/>
      <c r="B33" s="942"/>
      <c r="C33" s="278" t="s">
        <v>548</v>
      </c>
      <c r="D33" s="278" t="s">
        <v>549</v>
      </c>
      <c r="E33" s="278" t="s">
        <v>550</v>
      </c>
      <c r="F33" s="278" t="s">
        <v>548</v>
      </c>
      <c r="G33" s="278" t="s">
        <v>549</v>
      </c>
      <c r="H33" s="278" t="s">
        <v>550</v>
      </c>
      <c r="I33" s="278" t="s">
        <v>548</v>
      </c>
      <c r="J33" s="278" t="s">
        <v>549</v>
      </c>
      <c r="K33" s="278" t="s">
        <v>550</v>
      </c>
    </row>
    <row r="34" spans="1:11" s="286" customFormat="1" ht="34.5" thickBot="1" x14ac:dyDescent="0.25">
      <c r="A34" s="943"/>
      <c r="B34" s="943"/>
      <c r="C34" s="285" t="s">
        <v>512</v>
      </c>
      <c r="D34" s="285" t="s">
        <v>513</v>
      </c>
      <c r="E34" s="285" t="s">
        <v>514</v>
      </c>
      <c r="F34" s="285" t="s">
        <v>512</v>
      </c>
      <c r="G34" s="285" t="s">
        <v>513</v>
      </c>
      <c r="H34" s="285" t="s">
        <v>514</v>
      </c>
      <c r="I34" s="285" t="s">
        <v>512</v>
      </c>
      <c r="J34" s="285" t="s">
        <v>513</v>
      </c>
      <c r="K34" s="285" t="s">
        <v>514</v>
      </c>
    </row>
    <row r="35" spans="1:11" ht="16.5" thickBot="1" x14ac:dyDescent="0.3">
      <c r="A35" s="279">
        <v>1</v>
      </c>
      <c r="B35" s="278">
        <v>2</v>
      </c>
      <c r="C35" s="278">
        <v>3</v>
      </c>
      <c r="D35" s="278">
        <v>4</v>
      </c>
      <c r="E35" s="278">
        <v>5</v>
      </c>
      <c r="F35" s="278">
        <v>6</v>
      </c>
      <c r="G35" s="278">
        <v>7</v>
      </c>
      <c r="H35" s="278">
        <v>8</v>
      </c>
      <c r="I35" s="278">
        <v>9</v>
      </c>
      <c r="J35" s="278">
        <v>10</v>
      </c>
      <c r="K35" s="278">
        <v>11</v>
      </c>
    </row>
    <row r="36" spans="1:11" s="208" customFormat="1" ht="16.5" thickBot="1" x14ac:dyDescent="0.3">
      <c r="A36" s="279"/>
      <c r="B36" s="278"/>
      <c r="C36" s="278"/>
      <c r="D36" s="278"/>
      <c r="E36" s="278"/>
      <c r="F36" s="278"/>
      <c r="G36" s="278"/>
      <c r="H36" s="278"/>
      <c r="I36" s="278"/>
      <c r="J36" s="278"/>
      <c r="K36" s="278"/>
    </row>
    <row r="37" spans="1:11" s="208" customFormat="1" ht="16.5" thickBot="1" x14ac:dyDescent="0.3">
      <c r="A37" s="279"/>
      <c r="B37" s="278"/>
      <c r="C37" s="278"/>
      <c r="D37" s="278"/>
      <c r="E37" s="278"/>
      <c r="F37" s="278"/>
      <c r="G37" s="278"/>
      <c r="H37" s="278"/>
      <c r="I37" s="278"/>
      <c r="J37" s="278"/>
      <c r="K37" s="278"/>
    </row>
    <row r="38" spans="1:11" s="208" customFormat="1" ht="16.5" thickBot="1" x14ac:dyDescent="0.3">
      <c r="A38" s="279"/>
      <c r="B38" s="278"/>
      <c r="C38" s="278"/>
      <c r="D38" s="278"/>
      <c r="E38" s="278"/>
      <c r="F38" s="278"/>
      <c r="G38" s="278"/>
      <c r="H38" s="278"/>
      <c r="I38" s="278"/>
      <c r="J38" s="278"/>
      <c r="K38" s="278"/>
    </row>
    <row r="39" spans="1:11" s="208" customFormat="1" ht="16.5" thickBot="1" x14ac:dyDescent="0.3">
      <c r="A39" s="279"/>
      <c r="B39" s="278"/>
      <c r="C39" s="278"/>
      <c r="D39" s="278"/>
      <c r="E39" s="278"/>
      <c r="F39" s="278"/>
      <c r="G39" s="278"/>
      <c r="H39" s="278"/>
      <c r="I39" s="278"/>
      <c r="J39" s="278"/>
      <c r="K39" s="278"/>
    </row>
    <row r="40" spans="1:11" s="208" customFormat="1" ht="16.5" thickBot="1" x14ac:dyDescent="0.3">
      <c r="A40" s="279"/>
      <c r="B40" s="278"/>
      <c r="C40" s="278"/>
      <c r="D40" s="278"/>
      <c r="E40" s="278"/>
      <c r="F40" s="278"/>
      <c r="G40" s="278"/>
      <c r="H40" s="278"/>
      <c r="I40" s="278"/>
      <c r="J40" s="278"/>
      <c r="K40" s="278"/>
    </row>
    <row r="41" spans="1:11" s="208" customFormat="1" ht="16.5" thickBot="1" x14ac:dyDescent="0.3">
      <c r="A41" s="279"/>
      <c r="B41" s="278"/>
      <c r="C41" s="278"/>
      <c r="D41" s="278"/>
      <c r="E41" s="278"/>
      <c r="F41" s="278"/>
      <c r="G41" s="278"/>
      <c r="H41" s="278"/>
      <c r="I41" s="278"/>
      <c r="J41" s="278"/>
      <c r="K41" s="278"/>
    </row>
    <row r="42" spans="1:11" s="208" customFormat="1" ht="16.5" thickBot="1" x14ac:dyDescent="0.3">
      <c r="A42" s="279"/>
      <c r="B42" s="278"/>
      <c r="C42" s="278"/>
      <c r="D42" s="278"/>
      <c r="E42" s="278"/>
      <c r="F42" s="278"/>
      <c r="G42" s="278"/>
      <c r="H42" s="278"/>
      <c r="I42" s="278"/>
      <c r="J42" s="278"/>
      <c r="K42" s="278"/>
    </row>
    <row r="43" spans="1:11" s="208" customFormat="1" ht="16.5" thickBot="1" x14ac:dyDescent="0.3">
      <c r="A43" s="279"/>
      <c r="B43" s="278"/>
      <c r="C43" s="278"/>
      <c r="D43" s="278"/>
      <c r="E43" s="278"/>
      <c r="F43" s="278"/>
      <c r="G43" s="278"/>
      <c r="H43" s="278"/>
      <c r="I43" s="278"/>
      <c r="J43" s="278"/>
      <c r="K43" s="278"/>
    </row>
    <row r="44" spans="1:11" s="208" customFormat="1" ht="16.5" thickBot="1" x14ac:dyDescent="0.3">
      <c r="A44" s="279"/>
      <c r="B44" s="278"/>
      <c r="C44" s="278"/>
      <c r="D44" s="278"/>
      <c r="E44" s="278"/>
      <c r="F44" s="278"/>
      <c r="G44" s="278"/>
      <c r="H44" s="278"/>
      <c r="I44" s="278"/>
      <c r="J44" s="278"/>
      <c r="K44" s="278"/>
    </row>
    <row r="45" spans="1:11" s="208" customFormat="1" ht="16.5" thickBot="1" x14ac:dyDescent="0.3">
      <c r="A45" s="279"/>
      <c r="B45" s="278"/>
      <c r="C45" s="278"/>
      <c r="D45" s="278"/>
      <c r="E45" s="278"/>
      <c r="F45" s="278"/>
      <c r="G45" s="278"/>
      <c r="H45" s="278"/>
      <c r="I45" s="278"/>
      <c r="J45" s="278"/>
      <c r="K45" s="278"/>
    </row>
    <row r="46" spans="1:11" s="208" customFormat="1" ht="16.5" thickBot="1" x14ac:dyDescent="0.3">
      <c r="A46" s="279"/>
      <c r="B46" s="278"/>
      <c r="C46" s="278"/>
      <c r="D46" s="278"/>
      <c r="E46" s="278"/>
      <c r="F46" s="278"/>
      <c r="G46" s="278"/>
      <c r="H46" s="278"/>
      <c r="I46" s="278"/>
      <c r="J46" s="278"/>
      <c r="K46" s="278"/>
    </row>
    <row r="47" spans="1:11" s="208" customFormat="1" ht="16.5" thickBot="1" x14ac:dyDescent="0.3">
      <c r="A47" s="279"/>
      <c r="B47" s="278"/>
      <c r="C47" s="278"/>
      <c r="D47" s="278"/>
      <c r="E47" s="278"/>
      <c r="F47" s="278"/>
      <c r="G47" s="278"/>
      <c r="H47" s="278"/>
      <c r="I47" s="278"/>
      <c r="J47" s="278"/>
      <c r="K47" s="278"/>
    </row>
    <row r="48" spans="1:11" s="208" customFormat="1" ht="16.5" thickBot="1" x14ac:dyDescent="0.3">
      <c r="A48" s="279"/>
      <c r="B48" s="278"/>
      <c r="C48" s="278"/>
      <c r="D48" s="278"/>
      <c r="E48" s="278"/>
      <c r="F48" s="278"/>
      <c r="G48" s="278"/>
      <c r="H48" s="278"/>
      <c r="I48" s="278"/>
      <c r="J48" s="278"/>
      <c r="K48" s="278"/>
    </row>
    <row r="49" spans="1:11" s="208" customFormat="1" ht="16.5" thickBot="1" x14ac:dyDescent="0.3">
      <c r="A49" s="279"/>
      <c r="B49" s="278"/>
      <c r="C49" s="278"/>
      <c r="D49" s="278"/>
      <c r="E49" s="278"/>
      <c r="F49" s="278"/>
      <c r="G49" s="278"/>
      <c r="H49" s="278"/>
      <c r="I49" s="278"/>
      <c r="J49" s="278"/>
      <c r="K49" s="278"/>
    </row>
    <row r="50" spans="1:11" s="208" customFormat="1" ht="16.5" thickBot="1" x14ac:dyDescent="0.3">
      <c r="A50" s="279"/>
      <c r="B50" s="278"/>
      <c r="C50" s="278"/>
      <c r="D50" s="278"/>
      <c r="E50" s="278"/>
      <c r="F50" s="278"/>
      <c r="G50" s="278"/>
      <c r="H50" s="278"/>
      <c r="I50" s="278"/>
      <c r="J50" s="278"/>
      <c r="K50" s="278"/>
    </row>
    <row r="51" spans="1:11" s="208" customFormat="1" ht="16.5" thickBot="1" x14ac:dyDescent="0.3">
      <c r="A51" s="279"/>
      <c r="B51" s="278"/>
      <c r="C51" s="278"/>
      <c r="D51" s="278"/>
      <c r="E51" s="278"/>
      <c r="F51" s="278"/>
      <c r="G51" s="278"/>
      <c r="H51" s="278"/>
      <c r="I51" s="278"/>
      <c r="J51" s="278"/>
      <c r="K51" s="278"/>
    </row>
    <row r="52" spans="1:11" s="208" customFormat="1" ht="16.5" thickBot="1" x14ac:dyDescent="0.3">
      <c r="A52" s="279"/>
      <c r="B52" s="278"/>
      <c r="C52" s="278"/>
      <c r="D52" s="278"/>
      <c r="E52" s="278"/>
      <c r="F52" s="278"/>
      <c r="G52" s="278"/>
      <c r="H52" s="278"/>
      <c r="I52" s="278"/>
      <c r="J52" s="278"/>
      <c r="K52" s="278"/>
    </row>
    <row r="53" spans="1:11" s="208" customFormat="1" ht="16.5" thickBot="1" x14ac:dyDescent="0.3">
      <c r="A53" s="279"/>
      <c r="B53" s="278"/>
      <c r="C53" s="278"/>
      <c r="D53" s="278"/>
      <c r="E53" s="278"/>
      <c r="F53" s="278"/>
      <c r="G53" s="278"/>
      <c r="H53" s="278"/>
      <c r="I53" s="278"/>
      <c r="J53" s="278"/>
      <c r="K53" s="278"/>
    </row>
    <row r="54" spans="1:11" s="208" customFormat="1" ht="16.5" thickBot="1" x14ac:dyDescent="0.3">
      <c r="A54" s="279"/>
      <c r="B54" s="278"/>
      <c r="C54" s="278"/>
      <c r="D54" s="278"/>
      <c r="E54" s="278"/>
      <c r="F54" s="278"/>
      <c r="G54" s="278"/>
      <c r="H54" s="278"/>
      <c r="I54" s="278"/>
      <c r="J54" s="278"/>
      <c r="K54" s="278"/>
    </row>
    <row r="55" spans="1:11" s="208" customFormat="1" ht="16.5" thickBot="1" x14ac:dyDescent="0.3">
      <c r="A55" s="279"/>
      <c r="B55" s="278"/>
      <c r="C55" s="278"/>
      <c r="D55" s="278"/>
      <c r="E55" s="278"/>
      <c r="F55" s="278"/>
      <c r="G55" s="278"/>
      <c r="H55" s="278"/>
      <c r="I55" s="278"/>
      <c r="J55" s="278"/>
      <c r="K55" s="278"/>
    </row>
    <row r="56" spans="1:11" s="208" customFormat="1" ht="16.5" thickBot="1" x14ac:dyDescent="0.3">
      <c r="A56" s="279"/>
      <c r="B56" s="278"/>
      <c r="C56" s="278"/>
      <c r="D56" s="278"/>
      <c r="E56" s="278"/>
      <c r="F56" s="278"/>
      <c r="G56" s="278"/>
      <c r="H56" s="278"/>
      <c r="I56" s="278"/>
      <c r="J56" s="278"/>
      <c r="K56" s="278"/>
    </row>
    <row r="57" spans="1:11" ht="16.5" thickBot="1" x14ac:dyDescent="0.3">
      <c r="A57" s="280"/>
      <c r="B57" s="278"/>
      <c r="C57" s="281"/>
      <c r="D57" s="281"/>
      <c r="E57" s="281"/>
      <c r="F57" s="281"/>
      <c r="G57" s="281"/>
      <c r="H57" s="281"/>
      <c r="I57" s="281"/>
      <c r="J57" s="281"/>
      <c r="K57" s="281"/>
    </row>
    <row r="58" spans="1:11" ht="16.5" thickBot="1" x14ac:dyDescent="0.3">
      <c r="A58" s="280"/>
      <c r="B58" s="278"/>
      <c r="C58" s="281"/>
      <c r="D58" s="281"/>
      <c r="E58" s="281"/>
      <c r="F58" s="281"/>
      <c r="G58" s="281"/>
      <c r="H58" s="281"/>
      <c r="I58" s="281"/>
      <c r="J58" s="281"/>
      <c r="K58" s="281"/>
    </row>
    <row r="59" spans="1:11" ht="16.5" thickBot="1" x14ac:dyDescent="0.3">
      <c r="A59" s="280"/>
      <c r="B59" s="281"/>
      <c r="C59" s="281"/>
      <c r="D59" s="281"/>
      <c r="E59" s="281"/>
      <c r="F59" s="281"/>
      <c r="G59" s="281"/>
      <c r="H59" s="281"/>
      <c r="I59" s="281"/>
      <c r="J59" s="281"/>
      <c r="K59" s="281"/>
    </row>
    <row r="60" spans="1:11" ht="16.5" thickBot="1" x14ac:dyDescent="0.3">
      <c r="A60" s="280" t="s">
        <v>407</v>
      </c>
      <c r="B60" s="278">
        <v>9000</v>
      </c>
      <c r="C60" s="278" t="s">
        <v>454</v>
      </c>
      <c r="D60" s="278" t="s">
        <v>454</v>
      </c>
      <c r="E60" s="278" t="s">
        <v>454</v>
      </c>
      <c r="F60" s="278" t="s">
        <v>454</v>
      </c>
      <c r="G60" s="278" t="s">
        <v>454</v>
      </c>
      <c r="H60" s="278" t="s">
        <v>454</v>
      </c>
      <c r="I60" s="281"/>
      <c r="J60" s="281"/>
      <c r="K60" s="281"/>
    </row>
    <row r="62" spans="1:11" x14ac:dyDescent="0.25">
      <c r="A62" s="937" t="s">
        <v>556</v>
      </c>
      <c r="B62" s="937"/>
      <c r="C62" s="937"/>
      <c r="D62" s="937"/>
      <c r="E62" s="937"/>
      <c r="F62" s="937"/>
      <c r="G62" s="937"/>
      <c r="H62" s="937"/>
      <c r="I62" s="937"/>
      <c r="J62" s="937"/>
      <c r="K62" s="937"/>
    </row>
    <row r="63" spans="1:11" ht="15.75" thickBot="1" x14ac:dyDescent="0.3"/>
    <row r="64" spans="1:11" ht="16.5" thickBot="1" x14ac:dyDescent="0.3">
      <c r="A64" s="941" t="s">
        <v>0</v>
      </c>
      <c r="B64" s="941" t="s">
        <v>16</v>
      </c>
      <c r="C64" s="938" t="s">
        <v>540</v>
      </c>
      <c r="D64" s="939"/>
      <c r="E64" s="940"/>
    </row>
    <row r="65" spans="1:8" ht="16.5" thickBot="1" x14ac:dyDescent="0.3">
      <c r="A65" s="942"/>
      <c r="B65" s="942"/>
      <c r="C65" s="278" t="s">
        <v>548</v>
      </c>
      <c r="D65" s="278" t="s">
        <v>549</v>
      </c>
      <c r="E65" s="278" t="s">
        <v>550</v>
      </c>
    </row>
    <row r="66" spans="1:8" s="286" customFormat="1" ht="23.25" thickBot="1" x14ac:dyDescent="0.25">
      <c r="A66" s="943"/>
      <c r="B66" s="943"/>
      <c r="C66" s="285" t="s">
        <v>512</v>
      </c>
      <c r="D66" s="285" t="s">
        <v>513</v>
      </c>
      <c r="E66" s="285" t="s">
        <v>514</v>
      </c>
    </row>
    <row r="67" spans="1:8" ht="16.5" thickBot="1" x14ac:dyDescent="0.3">
      <c r="A67" s="279">
        <v>1</v>
      </c>
      <c r="B67" s="278">
        <v>2</v>
      </c>
      <c r="C67" s="278">
        <v>3</v>
      </c>
      <c r="D67" s="278">
        <v>4</v>
      </c>
      <c r="E67" s="278">
        <v>5</v>
      </c>
    </row>
    <row r="68" spans="1:8" ht="48" thickBot="1" x14ac:dyDescent="0.3">
      <c r="A68" s="280" t="s">
        <v>541</v>
      </c>
      <c r="B68" s="278">
        <v>100</v>
      </c>
      <c r="C68" s="336">
        <v>0</v>
      </c>
      <c r="D68" s="336">
        <v>0</v>
      </c>
      <c r="E68" s="336">
        <v>0</v>
      </c>
    </row>
    <row r="69" spans="1:8" ht="16.5" thickBot="1" x14ac:dyDescent="0.3">
      <c r="A69" s="280" t="s">
        <v>557</v>
      </c>
      <c r="B69" s="278">
        <v>300</v>
      </c>
      <c r="C69" s="336">
        <f>C70+C72</f>
        <v>0</v>
      </c>
      <c r="D69" s="336">
        <f t="shared" ref="D69:E69" si="0">D70+D72</f>
        <v>0</v>
      </c>
      <c r="E69" s="336">
        <f t="shared" si="0"/>
        <v>0</v>
      </c>
    </row>
    <row r="70" spans="1:8" ht="15.75" x14ac:dyDescent="0.25">
      <c r="A70" s="282" t="s">
        <v>4</v>
      </c>
      <c r="B70" s="941">
        <v>310</v>
      </c>
      <c r="C70" s="960">
        <f>I226</f>
        <v>0</v>
      </c>
      <c r="D70" s="960">
        <f t="shared" ref="D70:E70" si="1">J226</f>
        <v>0</v>
      </c>
      <c r="E70" s="960">
        <f t="shared" si="1"/>
        <v>0</v>
      </c>
    </row>
    <row r="71" spans="1:8" ht="16.5" thickBot="1" x14ac:dyDescent="0.3">
      <c r="A71" s="280" t="s">
        <v>558</v>
      </c>
      <c r="B71" s="943"/>
      <c r="C71" s="961"/>
      <c r="D71" s="961"/>
      <c r="E71" s="961"/>
    </row>
    <row r="72" spans="1:8" ht="32.25" thickBot="1" x14ac:dyDescent="0.3">
      <c r="A72" s="280" t="s">
        <v>469</v>
      </c>
      <c r="B72" s="278">
        <v>320</v>
      </c>
      <c r="C72" s="336">
        <f>I347</f>
        <v>0</v>
      </c>
      <c r="D72" s="336">
        <f>J347</f>
        <v>0</v>
      </c>
      <c r="E72" s="336">
        <f>K347</f>
        <v>0</v>
      </c>
    </row>
    <row r="73" spans="1:8" s="294" customFormat="1" ht="79.5" thickBot="1" x14ac:dyDescent="0.3">
      <c r="A73" s="412" t="s">
        <v>547</v>
      </c>
      <c r="B73" s="413">
        <v>600</v>
      </c>
      <c r="C73" s="414">
        <f>C69</f>
        <v>0</v>
      </c>
      <c r="D73" s="414">
        <f t="shared" ref="D73:E73" si="2">D69</f>
        <v>0</v>
      </c>
      <c r="E73" s="414">
        <f t="shared" si="2"/>
        <v>0</v>
      </c>
    </row>
    <row r="76" spans="1:8" ht="51.75" customHeight="1" x14ac:dyDescent="0.25">
      <c r="A76" s="921" t="s">
        <v>559</v>
      </c>
      <c r="B76" s="921"/>
      <c r="C76" s="921"/>
      <c r="D76" s="921"/>
      <c r="E76" s="921"/>
      <c r="F76" s="921"/>
      <c r="G76" s="921"/>
      <c r="H76" s="921"/>
    </row>
    <row r="77" spans="1:8" ht="15.75" thickBot="1" x14ac:dyDescent="0.3"/>
    <row r="78" spans="1:8" ht="16.5" thickBot="1" x14ac:dyDescent="0.3">
      <c r="A78" s="941" t="s">
        <v>0</v>
      </c>
      <c r="B78" s="941" t="s">
        <v>16</v>
      </c>
      <c r="C78" s="938" t="s">
        <v>540</v>
      </c>
      <c r="D78" s="939"/>
      <c r="E78" s="940"/>
    </row>
    <row r="79" spans="1:8" ht="16.5" thickBot="1" x14ac:dyDescent="0.3">
      <c r="A79" s="942"/>
      <c r="B79" s="942"/>
      <c r="C79" s="278" t="s">
        <v>548</v>
      </c>
      <c r="D79" s="278" t="s">
        <v>549</v>
      </c>
      <c r="E79" s="278" t="s">
        <v>550</v>
      </c>
    </row>
    <row r="80" spans="1:8" s="286" customFormat="1" ht="23.25" thickBot="1" x14ac:dyDescent="0.25">
      <c r="A80" s="943"/>
      <c r="B80" s="943"/>
      <c r="C80" s="285" t="s">
        <v>512</v>
      </c>
      <c r="D80" s="285" t="s">
        <v>513</v>
      </c>
      <c r="E80" s="285" t="s">
        <v>514</v>
      </c>
    </row>
    <row r="81" spans="1:12" ht="16.5" thickBot="1" x14ac:dyDescent="0.3">
      <c r="A81" s="279">
        <v>1</v>
      </c>
      <c r="B81" s="278">
        <v>2</v>
      </c>
      <c r="C81" s="278">
        <v>3</v>
      </c>
      <c r="D81" s="278">
        <v>4</v>
      </c>
      <c r="E81" s="278">
        <v>5</v>
      </c>
    </row>
    <row r="82" spans="1:12" ht="63.75" hidden="1" thickBot="1" x14ac:dyDescent="0.3">
      <c r="A82" s="280" t="s">
        <v>560</v>
      </c>
      <c r="B82" s="278">
        <v>100</v>
      </c>
      <c r="C82" s="281"/>
      <c r="D82" s="281"/>
      <c r="E82" s="281"/>
    </row>
    <row r="83" spans="1:12" ht="63.75" hidden="1" thickBot="1" x14ac:dyDescent="0.3">
      <c r="A83" s="280" t="s">
        <v>561</v>
      </c>
      <c r="B83" s="278">
        <v>200</v>
      </c>
      <c r="C83" s="281"/>
      <c r="D83" s="281"/>
      <c r="E83" s="281"/>
    </row>
    <row r="84" spans="1:12" ht="16.5" thickBot="1" x14ac:dyDescent="0.3">
      <c r="A84" s="280" t="s">
        <v>562</v>
      </c>
      <c r="B84" s="278">
        <v>300</v>
      </c>
      <c r="C84" s="310">
        <f>L110</f>
        <v>0</v>
      </c>
      <c r="D84" s="310">
        <f>L133</f>
        <v>0</v>
      </c>
      <c r="E84" s="310">
        <f>L133</f>
        <v>0</v>
      </c>
    </row>
    <row r="85" spans="1:12" ht="63.75" hidden="1" thickBot="1" x14ac:dyDescent="0.3">
      <c r="A85" s="280" t="s">
        <v>563</v>
      </c>
      <c r="B85" s="278">
        <v>400</v>
      </c>
      <c r="C85" s="281"/>
      <c r="D85" s="281"/>
      <c r="E85" s="281"/>
    </row>
    <row r="86" spans="1:12" ht="63.75" hidden="1" thickBot="1" x14ac:dyDescent="0.3">
      <c r="A86" s="280" t="s">
        <v>564</v>
      </c>
      <c r="B86" s="278">
        <v>500</v>
      </c>
      <c r="C86" s="281"/>
      <c r="D86" s="281"/>
      <c r="E86" s="281"/>
    </row>
    <row r="87" spans="1:12" ht="48" thickBot="1" x14ac:dyDescent="0.3">
      <c r="A87" s="280" t="s">
        <v>565</v>
      </c>
      <c r="B87" s="278">
        <v>600</v>
      </c>
      <c r="C87" s="310">
        <f>C84</f>
        <v>0</v>
      </c>
      <c r="D87" s="310">
        <f t="shared" ref="D87:E87" si="3">D84</f>
        <v>0</v>
      </c>
      <c r="E87" s="310">
        <f t="shared" si="3"/>
        <v>0</v>
      </c>
    </row>
    <row r="89" spans="1:12" ht="33" customHeight="1" x14ac:dyDescent="0.25">
      <c r="A89" s="921" t="s">
        <v>566</v>
      </c>
      <c r="B89" s="921"/>
      <c r="C89" s="921"/>
      <c r="D89" s="921"/>
      <c r="E89" s="921"/>
      <c r="F89" s="921"/>
      <c r="G89" s="921"/>
      <c r="H89" s="921"/>
    </row>
    <row r="91" spans="1:12" x14ac:dyDescent="0.25">
      <c r="A91" s="944" t="s">
        <v>567</v>
      </c>
      <c r="B91" s="944" t="s">
        <v>16</v>
      </c>
      <c r="C91" s="944" t="s">
        <v>24</v>
      </c>
      <c r="D91" s="958" t="s">
        <v>568</v>
      </c>
      <c r="E91" s="958"/>
      <c r="F91" s="958"/>
      <c r="G91" s="958"/>
      <c r="H91" s="958"/>
      <c r="I91" s="958"/>
      <c r="J91" s="958"/>
      <c r="K91" s="958"/>
      <c r="L91" s="958" t="s">
        <v>569</v>
      </c>
    </row>
    <row r="92" spans="1:12" x14ac:dyDescent="0.25">
      <c r="A92" s="944"/>
      <c r="B92" s="944"/>
      <c r="C92" s="944"/>
      <c r="D92" s="958" t="s">
        <v>570</v>
      </c>
      <c r="E92" s="958" t="s">
        <v>4</v>
      </c>
      <c r="F92" s="958"/>
      <c r="G92" s="958"/>
      <c r="H92" s="958"/>
      <c r="I92" s="958"/>
      <c r="J92" s="958"/>
      <c r="K92" s="958"/>
      <c r="L92" s="958"/>
    </row>
    <row r="93" spans="1:12" ht="31.5" customHeight="1" x14ac:dyDescent="0.25">
      <c r="A93" s="944"/>
      <c r="B93" s="944"/>
      <c r="C93" s="944"/>
      <c r="D93" s="958"/>
      <c r="E93" s="958" t="s">
        <v>25</v>
      </c>
      <c r="F93" s="958" t="s">
        <v>422</v>
      </c>
      <c r="G93" s="958" t="s">
        <v>26</v>
      </c>
      <c r="H93" s="958" t="s">
        <v>572</v>
      </c>
      <c r="I93" s="958"/>
      <c r="J93" s="958" t="s">
        <v>573</v>
      </c>
      <c r="K93" s="958"/>
      <c r="L93" s="958"/>
    </row>
    <row r="94" spans="1:12" s="286" customFormat="1" ht="46.5" customHeight="1" x14ac:dyDescent="0.2">
      <c r="A94" s="944"/>
      <c r="B94" s="944"/>
      <c r="C94" s="944"/>
      <c r="D94" s="958"/>
      <c r="E94" s="958"/>
      <c r="F94" s="958"/>
      <c r="G94" s="958"/>
      <c r="H94" s="291" t="s">
        <v>113</v>
      </c>
      <c r="I94" s="291" t="s">
        <v>574</v>
      </c>
      <c r="J94" s="291" t="s">
        <v>113</v>
      </c>
      <c r="K94" s="291" t="s">
        <v>575</v>
      </c>
      <c r="L94" s="958"/>
    </row>
    <row r="95" spans="1:12" ht="15.75" x14ac:dyDescent="0.25">
      <c r="A95" s="283">
        <v>1</v>
      </c>
      <c r="B95" s="283">
        <v>2</v>
      </c>
      <c r="C95" s="283">
        <v>3</v>
      </c>
      <c r="D95" s="283">
        <v>4</v>
      </c>
      <c r="E95" s="283">
        <v>5</v>
      </c>
      <c r="F95" s="283">
        <v>6</v>
      </c>
      <c r="G95" s="283">
        <v>7</v>
      </c>
      <c r="H95" s="283">
        <v>8</v>
      </c>
      <c r="I95" s="283">
        <v>9</v>
      </c>
      <c r="J95" s="283">
        <v>10</v>
      </c>
      <c r="K95" s="283">
        <v>11</v>
      </c>
      <c r="L95" s="283">
        <v>12</v>
      </c>
    </row>
    <row r="96" spans="1:12" s="208" customFormat="1" ht="15.75" x14ac:dyDescent="0.25">
      <c r="A96" s="237" t="s">
        <v>27</v>
      </c>
      <c r="B96" s="237"/>
      <c r="C96" s="234"/>
      <c r="D96" s="290"/>
      <c r="E96" s="98"/>
      <c r="F96" s="283"/>
      <c r="G96" s="236"/>
      <c r="H96" s="283"/>
      <c r="I96" s="211"/>
      <c r="J96" s="283"/>
      <c r="K96" s="236"/>
      <c r="L96" s="292"/>
    </row>
    <row r="97" spans="1:12" s="208" customFormat="1" ht="26.25" customHeight="1" x14ac:dyDescent="0.25">
      <c r="A97" s="237" t="s">
        <v>118</v>
      </c>
      <c r="B97" s="237"/>
      <c r="C97" s="234"/>
      <c r="D97" s="290"/>
      <c r="E97" s="98"/>
      <c r="F97" s="283"/>
      <c r="G97" s="236"/>
      <c r="H97" s="283"/>
      <c r="I97" s="211"/>
      <c r="J97" s="283"/>
      <c r="K97" s="236"/>
      <c r="L97" s="292"/>
    </row>
    <row r="98" spans="1:12" s="208" customFormat="1" ht="15.75" x14ac:dyDescent="0.25">
      <c r="A98" s="237" t="s">
        <v>120</v>
      </c>
      <c r="B98" s="237"/>
      <c r="C98" s="234"/>
      <c r="D98" s="290"/>
      <c r="E98" s="98"/>
      <c r="F98" s="283"/>
      <c r="G98" s="236"/>
      <c r="H98" s="283"/>
      <c r="I98" s="211"/>
      <c r="J98" s="283"/>
      <c r="K98" s="236"/>
      <c r="L98" s="292"/>
    </row>
    <row r="99" spans="1:12" s="208" customFormat="1" ht="15.75" x14ac:dyDescent="0.25">
      <c r="A99" s="237" t="s">
        <v>123</v>
      </c>
      <c r="B99" s="237"/>
      <c r="C99" s="234"/>
      <c r="D99" s="290"/>
      <c r="E99" s="98"/>
      <c r="F99" s="283"/>
      <c r="G99" s="236"/>
      <c r="H99" s="283"/>
      <c r="I99" s="211"/>
      <c r="J99" s="283"/>
      <c r="K99" s="236"/>
      <c r="L99" s="292"/>
    </row>
    <row r="100" spans="1:12" s="208" customFormat="1" ht="15.75" x14ac:dyDescent="0.25">
      <c r="A100" s="237" t="s">
        <v>125</v>
      </c>
      <c r="B100" s="237"/>
      <c r="C100" s="234"/>
      <c r="D100" s="290"/>
      <c r="E100" s="98"/>
      <c r="F100" s="283"/>
      <c r="G100" s="236"/>
      <c r="H100" s="283"/>
      <c r="I100" s="211"/>
      <c r="J100" s="283"/>
      <c r="K100" s="236"/>
      <c r="L100" s="292"/>
    </row>
    <row r="101" spans="1:12" s="208" customFormat="1" ht="15.75" x14ac:dyDescent="0.25">
      <c r="A101" s="237" t="s">
        <v>127</v>
      </c>
      <c r="B101" s="237"/>
      <c r="C101" s="234"/>
      <c r="D101" s="290"/>
      <c r="E101" s="98"/>
      <c r="F101" s="283"/>
      <c r="G101" s="236"/>
      <c r="H101" s="283"/>
      <c r="I101" s="211"/>
      <c r="J101" s="283"/>
      <c r="K101" s="236"/>
      <c r="L101" s="292"/>
    </row>
    <row r="102" spans="1:12" s="208" customFormat="1" ht="15.75" x14ac:dyDescent="0.25">
      <c r="A102" s="237" t="s">
        <v>129</v>
      </c>
      <c r="B102" s="237"/>
      <c r="C102" s="234"/>
      <c r="D102" s="290"/>
      <c r="E102" s="98"/>
      <c r="F102" s="283"/>
      <c r="G102" s="236"/>
      <c r="H102" s="283"/>
      <c r="I102" s="211"/>
      <c r="J102" s="283"/>
      <c r="K102" s="236"/>
      <c r="L102" s="292"/>
    </row>
    <row r="103" spans="1:12" s="208" customFormat="1" ht="15.75" x14ac:dyDescent="0.25">
      <c r="A103" s="237" t="s">
        <v>132</v>
      </c>
      <c r="B103" s="237"/>
      <c r="C103" s="234"/>
      <c r="D103" s="290"/>
      <c r="E103" s="98"/>
      <c r="F103" s="283"/>
      <c r="G103" s="236"/>
      <c r="H103" s="283"/>
      <c r="I103" s="211"/>
      <c r="J103" s="283"/>
      <c r="K103" s="236"/>
      <c r="L103" s="292"/>
    </row>
    <row r="104" spans="1:12" s="208" customFormat="1" ht="34.5" customHeight="1" x14ac:dyDescent="0.25">
      <c r="A104" s="237" t="s">
        <v>134</v>
      </c>
      <c r="B104" s="237"/>
      <c r="C104" s="234"/>
      <c r="D104" s="290"/>
      <c r="E104" s="98"/>
      <c r="F104" s="283"/>
      <c r="G104" s="236"/>
      <c r="H104" s="283"/>
      <c r="I104" s="211"/>
      <c r="J104" s="283"/>
      <c r="K104" s="236"/>
      <c r="L104" s="292"/>
    </row>
    <row r="105" spans="1:12" s="208" customFormat="1" ht="15.75" x14ac:dyDescent="0.25">
      <c r="A105" s="237" t="s">
        <v>135</v>
      </c>
      <c r="B105" s="237"/>
      <c r="C105" s="234"/>
      <c r="D105" s="290"/>
      <c r="E105" s="98"/>
      <c r="F105" s="283"/>
      <c r="G105" s="236"/>
      <c r="H105" s="283"/>
      <c r="I105" s="211"/>
      <c r="J105" s="283"/>
      <c r="K105" s="236"/>
      <c r="L105" s="292"/>
    </row>
    <row r="106" spans="1:12" s="208" customFormat="1" ht="27" customHeight="1" x14ac:dyDescent="0.25">
      <c r="A106" s="237" t="s">
        <v>137</v>
      </c>
      <c r="B106" s="237"/>
      <c r="C106" s="234"/>
      <c r="D106" s="290"/>
      <c r="E106" s="98"/>
      <c r="F106" s="236"/>
      <c r="G106" s="236"/>
      <c r="H106" s="283"/>
      <c r="I106" s="211"/>
      <c r="J106" s="283"/>
      <c r="K106" s="236"/>
      <c r="L106" s="292"/>
    </row>
    <row r="107" spans="1:12" ht="15.75" x14ac:dyDescent="0.25">
      <c r="A107" s="237" t="s">
        <v>139</v>
      </c>
      <c r="B107" s="237"/>
      <c r="C107" s="234"/>
      <c r="D107" s="290"/>
      <c r="E107" s="98"/>
      <c r="F107" s="236"/>
      <c r="G107" s="236"/>
      <c r="H107" s="283"/>
      <c r="I107" s="211"/>
      <c r="J107" s="283"/>
      <c r="K107" s="236"/>
      <c r="L107" s="292"/>
    </row>
    <row r="108" spans="1:12" ht="15.75" x14ac:dyDescent="0.25">
      <c r="A108" s="237" t="s">
        <v>28</v>
      </c>
      <c r="B108" s="237"/>
      <c r="C108" s="234"/>
      <c r="D108" s="290"/>
      <c r="E108" s="98"/>
      <c r="F108" s="236"/>
      <c r="G108" s="236"/>
      <c r="H108" s="283"/>
      <c r="I108" s="211"/>
      <c r="J108" s="283"/>
      <c r="K108" s="236"/>
      <c r="L108" s="292"/>
    </row>
    <row r="109" spans="1:12" ht="16.5" thickBot="1" x14ac:dyDescent="0.3">
      <c r="A109" s="295" t="s">
        <v>140</v>
      </c>
      <c r="B109" s="295"/>
      <c r="C109" s="296"/>
      <c r="D109" s="297"/>
      <c r="E109" s="298"/>
      <c r="F109" s="299"/>
      <c r="G109" s="299"/>
      <c r="H109" s="300"/>
      <c r="I109" s="301"/>
      <c r="J109" s="300"/>
      <c r="K109" s="299"/>
      <c r="L109" s="302"/>
    </row>
    <row r="110" spans="1:12" s="294" customFormat="1" ht="16.5" thickBot="1" x14ac:dyDescent="0.3">
      <c r="A110" s="303" t="s">
        <v>407</v>
      </c>
      <c r="B110" s="304">
        <v>9000</v>
      </c>
      <c r="C110" s="304" t="s">
        <v>454</v>
      </c>
      <c r="D110" s="305">
        <f>SUM(D96:D109)</f>
        <v>0</v>
      </c>
      <c r="E110" s="305">
        <f>SUM(E96:E109)</f>
        <v>0</v>
      </c>
      <c r="F110" s="305">
        <f t="shared" ref="F110:G110" si="4">SUM(F96:F109)</f>
        <v>0</v>
      </c>
      <c r="G110" s="305">
        <f t="shared" si="4"/>
        <v>0</v>
      </c>
      <c r="H110" s="306"/>
      <c r="I110" s="307">
        <f>SUM(I96:I109)</f>
        <v>0</v>
      </c>
      <c r="J110" s="306"/>
      <c r="K110" s="308">
        <f>SUM(K96:K109)</f>
        <v>0</v>
      </c>
      <c r="L110" s="309">
        <f>SUM(L96:L109)</f>
        <v>0</v>
      </c>
    </row>
    <row r="112" spans="1:12" x14ac:dyDescent="0.25">
      <c r="A112" s="937" t="s">
        <v>576</v>
      </c>
      <c r="B112" s="937"/>
      <c r="C112" s="937"/>
      <c r="D112" s="937"/>
      <c r="E112" s="937"/>
      <c r="F112" s="937"/>
      <c r="G112" s="937"/>
      <c r="H112" s="937"/>
    </row>
    <row r="113" spans="1:12" ht="15.75" thickBot="1" x14ac:dyDescent="0.3"/>
    <row r="114" spans="1:12" ht="16.5" thickBot="1" x14ac:dyDescent="0.3">
      <c r="A114" s="941" t="s">
        <v>567</v>
      </c>
      <c r="B114" s="941" t="s">
        <v>16</v>
      </c>
      <c r="C114" s="941" t="s">
        <v>24</v>
      </c>
      <c r="D114" s="938" t="s">
        <v>568</v>
      </c>
      <c r="E114" s="939"/>
      <c r="F114" s="939"/>
      <c r="G114" s="939"/>
      <c r="H114" s="939"/>
      <c r="I114" s="939"/>
      <c r="J114" s="939"/>
      <c r="K114" s="940"/>
      <c r="L114" s="941" t="s">
        <v>569</v>
      </c>
    </row>
    <row r="115" spans="1:12" ht="16.5" thickBot="1" x14ac:dyDescent="0.3">
      <c r="A115" s="942"/>
      <c r="B115" s="942"/>
      <c r="C115" s="942"/>
      <c r="D115" s="941" t="s">
        <v>570</v>
      </c>
      <c r="E115" s="938" t="s">
        <v>4</v>
      </c>
      <c r="F115" s="939"/>
      <c r="G115" s="939"/>
      <c r="H115" s="939"/>
      <c r="I115" s="939"/>
      <c r="J115" s="939"/>
      <c r="K115" s="940"/>
      <c r="L115" s="942"/>
    </row>
    <row r="116" spans="1:12" ht="16.5" customHeight="1" thickBot="1" x14ac:dyDescent="0.3">
      <c r="A116" s="942"/>
      <c r="B116" s="942"/>
      <c r="C116" s="942"/>
      <c r="D116" s="942"/>
      <c r="E116" s="941" t="s">
        <v>25</v>
      </c>
      <c r="F116" s="958" t="s">
        <v>422</v>
      </c>
      <c r="G116" s="941" t="s">
        <v>26</v>
      </c>
      <c r="H116" s="938" t="s">
        <v>572</v>
      </c>
      <c r="I116" s="940"/>
      <c r="J116" s="938" t="s">
        <v>573</v>
      </c>
      <c r="K116" s="940"/>
      <c r="L116" s="942"/>
    </row>
    <row r="117" spans="1:12" ht="34.5" thickBot="1" x14ac:dyDescent="0.3">
      <c r="A117" s="943"/>
      <c r="B117" s="943"/>
      <c r="C117" s="943"/>
      <c r="D117" s="943"/>
      <c r="E117" s="943"/>
      <c r="F117" s="958"/>
      <c r="G117" s="943"/>
      <c r="H117" s="285" t="s">
        <v>113</v>
      </c>
      <c r="I117" s="285" t="s">
        <v>574</v>
      </c>
      <c r="J117" s="285" t="s">
        <v>113</v>
      </c>
      <c r="K117" s="285" t="s">
        <v>575</v>
      </c>
      <c r="L117" s="943"/>
    </row>
    <row r="118" spans="1:12" ht="16.5" thickBot="1" x14ac:dyDescent="0.3">
      <c r="A118" s="279">
        <v>1</v>
      </c>
      <c r="B118" s="278">
        <v>2</v>
      </c>
      <c r="C118" s="278">
        <v>3</v>
      </c>
      <c r="D118" s="278">
        <v>4</v>
      </c>
      <c r="E118" s="278">
        <v>5</v>
      </c>
      <c r="F118" s="278">
        <v>6</v>
      </c>
      <c r="G118" s="278">
        <v>7</v>
      </c>
      <c r="H118" s="278">
        <v>8</v>
      </c>
      <c r="I118" s="278">
        <v>9</v>
      </c>
      <c r="J118" s="278">
        <v>10</v>
      </c>
      <c r="K118" s="278">
        <v>11</v>
      </c>
      <c r="L118" s="278">
        <v>12</v>
      </c>
    </row>
    <row r="119" spans="1:12" s="208" customFormat="1" ht="15.75" x14ac:dyDescent="0.25">
      <c r="A119" s="237" t="s">
        <v>27</v>
      </c>
      <c r="B119" s="237"/>
      <c r="C119" s="234"/>
      <c r="D119" s="290"/>
      <c r="E119" s="98"/>
      <c r="F119" s="283"/>
      <c r="G119" s="236"/>
      <c r="H119" s="283"/>
      <c r="I119" s="211"/>
      <c r="J119" s="283"/>
      <c r="K119" s="236"/>
      <c r="L119" s="292"/>
    </row>
    <row r="120" spans="1:12" s="208" customFormat="1" ht="40.5" x14ac:dyDescent="0.25">
      <c r="A120" s="237" t="s">
        <v>118</v>
      </c>
      <c r="B120" s="237"/>
      <c r="C120" s="234"/>
      <c r="D120" s="290"/>
      <c r="E120" s="98"/>
      <c r="F120" s="283"/>
      <c r="G120" s="236"/>
      <c r="H120" s="283"/>
      <c r="I120" s="211"/>
      <c r="J120" s="283"/>
      <c r="K120" s="236"/>
      <c r="L120" s="292"/>
    </row>
    <row r="121" spans="1:12" s="208" customFormat="1" ht="15.75" x14ac:dyDescent="0.25">
      <c r="A121" s="237" t="s">
        <v>120</v>
      </c>
      <c r="B121" s="237"/>
      <c r="C121" s="234"/>
      <c r="D121" s="290"/>
      <c r="E121" s="98"/>
      <c r="F121" s="283"/>
      <c r="G121" s="236"/>
      <c r="H121" s="283"/>
      <c r="I121" s="211"/>
      <c r="J121" s="283"/>
      <c r="K121" s="236"/>
      <c r="L121" s="292"/>
    </row>
    <row r="122" spans="1:12" s="208" customFormat="1" ht="15.75" x14ac:dyDescent="0.25">
      <c r="A122" s="237" t="s">
        <v>123</v>
      </c>
      <c r="B122" s="237"/>
      <c r="C122" s="234"/>
      <c r="D122" s="290"/>
      <c r="E122" s="98"/>
      <c r="F122" s="283"/>
      <c r="G122" s="236"/>
      <c r="H122" s="283"/>
      <c r="I122" s="211"/>
      <c r="J122" s="283"/>
      <c r="K122" s="236"/>
      <c r="L122" s="292"/>
    </row>
    <row r="123" spans="1:12" s="208" customFormat="1" ht="15.75" x14ac:dyDescent="0.25">
      <c r="A123" s="237" t="s">
        <v>125</v>
      </c>
      <c r="B123" s="237"/>
      <c r="C123" s="234"/>
      <c r="D123" s="290"/>
      <c r="E123" s="98"/>
      <c r="F123" s="283"/>
      <c r="G123" s="236"/>
      <c r="H123" s="283"/>
      <c r="I123" s="211"/>
      <c r="J123" s="283"/>
      <c r="K123" s="236"/>
      <c r="L123" s="292"/>
    </row>
    <row r="124" spans="1:12" s="208" customFormat="1" ht="15.75" x14ac:dyDescent="0.25">
      <c r="A124" s="237" t="s">
        <v>127</v>
      </c>
      <c r="B124" s="237"/>
      <c r="C124" s="234"/>
      <c r="D124" s="290"/>
      <c r="E124" s="98"/>
      <c r="F124" s="283"/>
      <c r="G124" s="236"/>
      <c r="H124" s="283"/>
      <c r="I124" s="211"/>
      <c r="J124" s="283"/>
      <c r="K124" s="236"/>
      <c r="L124" s="292"/>
    </row>
    <row r="125" spans="1:12" s="208" customFormat="1" ht="15.75" x14ac:dyDescent="0.25">
      <c r="A125" s="237" t="s">
        <v>129</v>
      </c>
      <c r="B125" s="237"/>
      <c r="C125" s="234"/>
      <c r="D125" s="290"/>
      <c r="E125" s="98"/>
      <c r="F125" s="283"/>
      <c r="G125" s="236"/>
      <c r="H125" s="283"/>
      <c r="I125" s="211"/>
      <c r="J125" s="283"/>
      <c r="K125" s="236"/>
      <c r="L125" s="292"/>
    </row>
    <row r="126" spans="1:12" s="208" customFormat="1" ht="15.75" x14ac:dyDescent="0.25">
      <c r="A126" s="237" t="s">
        <v>132</v>
      </c>
      <c r="B126" s="237"/>
      <c r="C126" s="234"/>
      <c r="D126" s="290"/>
      <c r="E126" s="98"/>
      <c r="F126" s="283"/>
      <c r="G126" s="236"/>
      <c r="H126" s="283"/>
      <c r="I126" s="211"/>
      <c r="J126" s="283"/>
      <c r="K126" s="236"/>
      <c r="L126" s="292"/>
    </row>
    <row r="127" spans="1:12" s="208" customFormat="1" ht="27" x14ac:dyDescent="0.25">
      <c r="A127" s="237" t="s">
        <v>134</v>
      </c>
      <c r="B127" s="237"/>
      <c r="C127" s="234"/>
      <c r="D127" s="290"/>
      <c r="E127" s="98"/>
      <c r="F127" s="283"/>
      <c r="G127" s="236"/>
      <c r="H127" s="283"/>
      <c r="I127" s="211"/>
      <c r="J127" s="283"/>
      <c r="K127" s="236"/>
      <c r="L127" s="292"/>
    </row>
    <row r="128" spans="1:12" s="208" customFormat="1" ht="15.75" x14ac:dyDescent="0.25">
      <c r="A128" s="237" t="s">
        <v>135</v>
      </c>
      <c r="B128" s="237"/>
      <c r="C128" s="234"/>
      <c r="D128" s="290"/>
      <c r="E128" s="98"/>
      <c r="F128" s="283"/>
      <c r="G128" s="236"/>
      <c r="H128" s="283"/>
      <c r="I128" s="211"/>
      <c r="J128" s="283"/>
      <c r="K128" s="236"/>
      <c r="L128" s="292"/>
    </row>
    <row r="129" spans="1:12" s="208" customFormat="1" ht="27" x14ac:dyDescent="0.25">
      <c r="A129" s="237" t="s">
        <v>137</v>
      </c>
      <c r="B129" s="237"/>
      <c r="C129" s="234"/>
      <c r="D129" s="290"/>
      <c r="E129" s="98"/>
      <c r="F129" s="236"/>
      <c r="G129" s="236"/>
      <c r="H129" s="283"/>
      <c r="I129" s="211"/>
      <c r="J129" s="283"/>
      <c r="K129" s="236"/>
      <c r="L129" s="292"/>
    </row>
    <row r="130" spans="1:12" ht="15.75" x14ac:dyDescent="0.25">
      <c r="A130" s="237" t="s">
        <v>139</v>
      </c>
      <c r="B130" s="237"/>
      <c r="C130" s="234"/>
      <c r="D130" s="290"/>
      <c r="E130" s="98"/>
      <c r="F130" s="236"/>
      <c r="G130" s="236"/>
      <c r="H130" s="283"/>
      <c r="I130" s="211"/>
      <c r="J130" s="283"/>
      <c r="K130" s="236"/>
      <c r="L130" s="292"/>
    </row>
    <row r="131" spans="1:12" ht="15.75" x14ac:dyDescent="0.25">
      <c r="A131" s="237" t="s">
        <v>28</v>
      </c>
      <c r="B131" s="237"/>
      <c r="C131" s="234"/>
      <c r="D131" s="290"/>
      <c r="E131" s="98"/>
      <c r="F131" s="236"/>
      <c r="G131" s="236"/>
      <c r="H131" s="283"/>
      <c r="I131" s="211"/>
      <c r="J131" s="283"/>
      <c r="K131" s="236"/>
      <c r="L131" s="292"/>
    </row>
    <row r="132" spans="1:12" ht="16.5" thickBot="1" x14ac:dyDescent="0.3">
      <c r="A132" s="295" t="s">
        <v>140</v>
      </c>
      <c r="B132" s="295"/>
      <c r="C132" s="296"/>
      <c r="D132" s="297"/>
      <c r="E132" s="298"/>
      <c r="F132" s="299"/>
      <c r="G132" s="299"/>
      <c r="H132" s="300"/>
      <c r="I132" s="301"/>
      <c r="J132" s="300"/>
      <c r="K132" s="299"/>
      <c r="L132" s="302"/>
    </row>
    <row r="133" spans="1:12" s="294" customFormat="1" ht="16.5" thickBot="1" x14ac:dyDescent="0.3">
      <c r="A133" s="303" t="s">
        <v>407</v>
      </c>
      <c r="B133" s="304">
        <v>9000</v>
      </c>
      <c r="C133" s="304" t="s">
        <v>454</v>
      </c>
      <c r="D133" s="305">
        <f>SUM(D119:D132)</f>
        <v>0</v>
      </c>
      <c r="E133" s="305">
        <f>SUM(E119:E132)</f>
        <v>0</v>
      </c>
      <c r="F133" s="305">
        <f t="shared" ref="F133" si="5">SUM(F119:F132)</f>
        <v>0</v>
      </c>
      <c r="G133" s="305">
        <f t="shared" ref="G133" si="6">SUM(G119:G132)</f>
        <v>0</v>
      </c>
      <c r="H133" s="306"/>
      <c r="I133" s="307">
        <f>SUM(I119:I132)</f>
        <v>0</v>
      </c>
      <c r="J133" s="306"/>
      <c r="K133" s="308">
        <f>SUM(K119:K132)</f>
        <v>0</v>
      </c>
      <c r="L133" s="309">
        <f>SUM(L119:L132)</f>
        <v>0</v>
      </c>
    </row>
    <row r="135" spans="1:12" x14ac:dyDescent="0.25">
      <c r="A135" s="937" t="s">
        <v>577</v>
      </c>
      <c r="B135" s="937"/>
      <c r="C135" s="937"/>
      <c r="D135" s="937"/>
      <c r="E135" s="937"/>
      <c r="F135" s="937"/>
      <c r="G135" s="937"/>
      <c r="H135" s="937"/>
      <c r="I135" s="937"/>
    </row>
    <row r="136" spans="1:12" ht="15.75" thickBot="1" x14ac:dyDescent="0.3"/>
    <row r="137" spans="1:12" ht="16.5" thickBot="1" x14ac:dyDescent="0.3">
      <c r="A137" s="941" t="s">
        <v>567</v>
      </c>
      <c r="B137" s="941" t="s">
        <v>16</v>
      </c>
      <c r="C137" s="941" t="s">
        <v>24</v>
      </c>
      <c r="D137" s="938" t="s">
        <v>568</v>
      </c>
      <c r="E137" s="939"/>
      <c r="F137" s="939"/>
      <c r="G137" s="939"/>
      <c r="H137" s="939"/>
      <c r="I137" s="939"/>
      <c r="J137" s="939"/>
      <c r="K137" s="940"/>
      <c r="L137" s="941" t="s">
        <v>569</v>
      </c>
    </row>
    <row r="138" spans="1:12" ht="16.5" thickBot="1" x14ac:dyDescent="0.3">
      <c r="A138" s="942"/>
      <c r="B138" s="942"/>
      <c r="C138" s="942"/>
      <c r="D138" s="941" t="s">
        <v>570</v>
      </c>
      <c r="E138" s="938" t="s">
        <v>4</v>
      </c>
      <c r="F138" s="939"/>
      <c r="G138" s="939"/>
      <c r="H138" s="939"/>
      <c r="I138" s="939"/>
      <c r="J138" s="939"/>
      <c r="K138" s="940"/>
      <c r="L138" s="942"/>
    </row>
    <row r="139" spans="1:12" ht="16.5" thickBot="1" x14ac:dyDescent="0.3">
      <c r="A139" s="942"/>
      <c r="B139" s="942"/>
      <c r="C139" s="942"/>
      <c r="D139" s="942"/>
      <c r="E139" s="941" t="s">
        <v>25</v>
      </c>
      <c r="F139" s="941" t="s">
        <v>571</v>
      </c>
      <c r="G139" s="941" t="s">
        <v>26</v>
      </c>
      <c r="H139" s="938" t="s">
        <v>572</v>
      </c>
      <c r="I139" s="940"/>
      <c r="J139" s="938" t="s">
        <v>573</v>
      </c>
      <c r="K139" s="940"/>
      <c r="L139" s="942"/>
    </row>
    <row r="140" spans="1:12" ht="34.5" thickBot="1" x14ac:dyDescent="0.3">
      <c r="A140" s="943"/>
      <c r="B140" s="943"/>
      <c r="C140" s="943"/>
      <c r="D140" s="943"/>
      <c r="E140" s="943"/>
      <c r="F140" s="943"/>
      <c r="G140" s="943"/>
      <c r="H140" s="285" t="s">
        <v>113</v>
      </c>
      <c r="I140" s="285" t="s">
        <v>574</v>
      </c>
      <c r="J140" s="285" t="s">
        <v>113</v>
      </c>
      <c r="K140" s="285" t="s">
        <v>575</v>
      </c>
      <c r="L140" s="943"/>
    </row>
    <row r="141" spans="1:12" ht="16.5" thickBot="1" x14ac:dyDescent="0.3">
      <c r="A141" s="279">
        <v>1</v>
      </c>
      <c r="B141" s="278">
        <v>2</v>
      </c>
      <c r="C141" s="278">
        <v>3</v>
      </c>
      <c r="D141" s="278">
        <v>4</v>
      </c>
      <c r="E141" s="278">
        <v>5</v>
      </c>
      <c r="F141" s="278">
        <v>6</v>
      </c>
      <c r="G141" s="278">
        <v>7</v>
      </c>
      <c r="H141" s="278">
        <v>8</v>
      </c>
      <c r="I141" s="278">
        <v>9</v>
      </c>
      <c r="J141" s="278">
        <v>10</v>
      </c>
      <c r="K141" s="278">
        <v>11</v>
      </c>
      <c r="L141" s="278">
        <v>12</v>
      </c>
    </row>
    <row r="142" spans="1:12" s="208" customFormat="1" ht="15.75" x14ac:dyDescent="0.25">
      <c r="A142" s="237" t="s">
        <v>27</v>
      </c>
      <c r="B142" s="237"/>
      <c r="C142" s="234"/>
      <c r="D142" s="290"/>
      <c r="E142" s="98"/>
      <c r="F142" s="283"/>
      <c r="G142" s="236"/>
      <c r="H142" s="283"/>
      <c r="I142" s="211"/>
      <c r="J142" s="283"/>
      <c r="K142" s="236"/>
      <c r="L142" s="292"/>
    </row>
    <row r="143" spans="1:12" s="208" customFormat="1" ht="40.5" x14ac:dyDescent="0.25">
      <c r="A143" s="237" t="s">
        <v>118</v>
      </c>
      <c r="B143" s="237"/>
      <c r="C143" s="234"/>
      <c r="D143" s="290"/>
      <c r="E143" s="98"/>
      <c r="F143" s="283"/>
      <c r="G143" s="236"/>
      <c r="H143" s="283"/>
      <c r="I143" s="211"/>
      <c r="J143" s="283"/>
      <c r="K143" s="236"/>
      <c r="L143" s="292"/>
    </row>
    <row r="144" spans="1:12" s="208" customFormat="1" ht="15.75" x14ac:dyDescent="0.25">
      <c r="A144" s="237" t="s">
        <v>120</v>
      </c>
      <c r="B144" s="237"/>
      <c r="C144" s="234"/>
      <c r="D144" s="290"/>
      <c r="E144" s="98"/>
      <c r="F144" s="283"/>
      <c r="G144" s="236"/>
      <c r="H144" s="283"/>
      <c r="I144" s="211"/>
      <c r="J144" s="283"/>
      <c r="K144" s="236"/>
      <c r="L144" s="292"/>
    </row>
    <row r="145" spans="1:12" s="208" customFormat="1" ht="15.75" x14ac:dyDescent="0.25">
      <c r="A145" s="237" t="s">
        <v>123</v>
      </c>
      <c r="B145" s="237"/>
      <c r="C145" s="234"/>
      <c r="D145" s="290"/>
      <c r="E145" s="98"/>
      <c r="F145" s="283"/>
      <c r="G145" s="236"/>
      <c r="H145" s="283"/>
      <c r="I145" s="211"/>
      <c r="J145" s="283"/>
      <c r="K145" s="236"/>
      <c r="L145" s="292"/>
    </row>
    <row r="146" spans="1:12" s="208" customFormat="1" ht="15.75" x14ac:dyDescent="0.25">
      <c r="A146" s="237" t="s">
        <v>125</v>
      </c>
      <c r="B146" s="237"/>
      <c r="C146" s="234"/>
      <c r="D146" s="290"/>
      <c r="E146" s="98"/>
      <c r="F146" s="283"/>
      <c r="G146" s="236"/>
      <c r="H146" s="283"/>
      <c r="I146" s="211"/>
      <c r="J146" s="283"/>
      <c r="K146" s="236"/>
      <c r="L146" s="292"/>
    </row>
    <row r="147" spans="1:12" s="208" customFormat="1" ht="15.75" x14ac:dyDescent="0.25">
      <c r="A147" s="237" t="s">
        <v>127</v>
      </c>
      <c r="B147" s="237"/>
      <c r="C147" s="234"/>
      <c r="D147" s="290"/>
      <c r="E147" s="98"/>
      <c r="F147" s="283"/>
      <c r="G147" s="236"/>
      <c r="H147" s="283"/>
      <c r="I147" s="211"/>
      <c r="J147" s="283"/>
      <c r="K147" s="236"/>
      <c r="L147" s="292"/>
    </row>
    <row r="148" spans="1:12" s="208" customFormat="1" ht="15.75" x14ac:dyDescent="0.25">
      <c r="A148" s="237" t="s">
        <v>129</v>
      </c>
      <c r="B148" s="237"/>
      <c r="C148" s="234"/>
      <c r="D148" s="290"/>
      <c r="E148" s="98"/>
      <c r="F148" s="283"/>
      <c r="G148" s="236"/>
      <c r="H148" s="283"/>
      <c r="I148" s="211"/>
      <c r="J148" s="283"/>
      <c r="K148" s="236"/>
      <c r="L148" s="292"/>
    </row>
    <row r="149" spans="1:12" s="208" customFormat="1" ht="15.75" x14ac:dyDescent="0.25">
      <c r="A149" s="237" t="s">
        <v>132</v>
      </c>
      <c r="B149" s="237"/>
      <c r="C149" s="234"/>
      <c r="D149" s="290"/>
      <c r="E149" s="98"/>
      <c r="F149" s="283"/>
      <c r="G149" s="236"/>
      <c r="H149" s="283"/>
      <c r="I149" s="211"/>
      <c r="J149" s="283"/>
      <c r="K149" s="236"/>
      <c r="L149" s="292"/>
    </row>
    <row r="150" spans="1:12" s="208" customFormat="1" ht="27" x14ac:dyDescent="0.25">
      <c r="A150" s="237" t="s">
        <v>134</v>
      </c>
      <c r="B150" s="237"/>
      <c r="C150" s="234"/>
      <c r="D150" s="290"/>
      <c r="E150" s="98"/>
      <c r="F150" s="283"/>
      <c r="G150" s="236"/>
      <c r="H150" s="283"/>
      <c r="I150" s="211"/>
      <c r="J150" s="283"/>
      <c r="K150" s="236"/>
      <c r="L150" s="292"/>
    </row>
    <row r="151" spans="1:12" s="208" customFormat="1" ht="15.75" x14ac:dyDescent="0.25">
      <c r="A151" s="237" t="s">
        <v>135</v>
      </c>
      <c r="B151" s="237"/>
      <c r="C151" s="234"/>
      <c r="D151" s="290"/>
      <c r="E151" s="98"/>
      <c r="F151" s="283"/>
      <c r="G151" s="236"/>
      <c r="H151" s="283"/>
      <c r="I151" s="211"/>
      <c r="J151" s="283"/>
      <c r="K151" s="236"/>
      <c r="L151" s="292"/>
    </row>
    <row r="152" spans="1:12" ht="27" x14ac:dyDescent="0.25">
      <c r="A152" s="237" t="s">
        <v>137</v>
      </c>
      <c r="B152" s="237"/>
      <c r="C152" s="234"/>
      <c r="D152" s="290"/>
      <c r="E152" s="98"/>
      <c r="F152" s="236"/>
      <c r="G152" s="236"/>
      <c r="H152" s="283"/>
      <c r="I152" s="211"/>
      <c r="J152" s="283"/>
      <c r="K152" s="236"/>
      <c r="L152" s="292"/>
    </row>
    <row r="153" spans="1:12" ht="15.75" x14ac:dyDescent="0.25">
      <c r="A153" s="237" t="s">
        <v>139</v>
      </c>
      <c r="B153" s="237"/>
      <c r="C153" s="234"/>
      <c r="D153" s="290"/>
      <c r="E153" s="98"/>
      <c r="F153" s="236"/>
      <c r="G153" s="236"/>
      <c r="H153" s="283"/>
      <c r="I153" s="211"/>
      <c r="J153" s="283"/>
      <c r="K153" s="236"/>
      <c r="L153" s="292"/>
    </row>
    <row r="154" spans="1:12" ht="15.75" x14ac:dyDescent="0.25">
      <c r="A154" s="237" t="s">
        <v>28</v>
      </c>
      <c r="B154" s="237"/>
      <c r="C154" s="234"/>
      <c r="D154" s="290"/>
      <c r="E154" s="98"/>
      <c r="F154" s="236"/>
      <c r="G154" s="236"/>
      <c r="H154" s="283"/>
      <c r="I154" s="211"/>
      <c r="J154" s="283"/>
      <c r="K154" s="236"/>
      <c r="L154" s="292"/>
    </row>
    <row r="155" spans="1:12" ht="16.5" thickBot="1" x14ac:dyDescent="0.3">
      <c r="A155" s="295" t="s">
        <v>140</v>
      </c>
      <c r="B155" s="295"/>
      <c r="C155" s="296"/>
      <c r="D155" s="297"/>
      <c r="E155" s="298"/>
      <c r="F155" s="299"/>
      <c r="G155" s="299"/>
      <c r="H155" s="300"/>
      <c r="I155" s="301"/>
      <c r="J155" s="300"/>
      <c r="K155" s="299"/>
      <c r="L155" s="302"/>
    </row>
    <row r="156" spans="1:12" ht="16.5" thickBot="1" x14ac:dyDescent="0.3">
      <c r="A156" s="303" t="s">
        <v>407</v>
      </c>
      <c r="B156" s="304">
        <v>9000</v>
      </c>
      <c r="C156" s="304" t="s">
        <v>454</v>
      </c>
      <c r="D156" s="305">
        <f>SUM(D142:D155)</f>
        <v>0</v>
      </c>
      <c r="E156" s="305">
        <f>SUM(E142:E155)</f>
        <v>0</v>
      </c>
      <c r="F156" s="305">
        <f t="shared" ref="F156" si="7">SUM(F142:F155)</f>
        <v>0</v>
      </c>
      <c r="G156" s="305">
        <f t="shared" ref="G156" si="8">SUM(G142:G155)</f>
        <v>0</v>
      </c>
      <c r="H156" s="306"/>
      <c r="I156" s="307">
        <f>SUM(I142:I155)</f>
        <v>0</v>
      </c>
      <c r="J156" s="306"/>
      <c r="K156" s="308">
        <f>SUM(K142:K155)</f>
        <v>0</v>
      </c>
      <c r="L156" s="309">
        <f>SUM(L142:L155)</f>
        <v>0</v>
      </c>
    </row>
    <row r="157" spans="1:12" s="208" customFormat="1" ht="15.75" x14ac:dyDescent="0.25">
      <c r="A157" s="962" t="s">
        <v>423</v>
      </c>
      <c r="B157" s="963"/>
      <c r="C157" s="964"/>
      <c r="D157" s="354"/>
      <c r="E157" s="354"/>
      <c r="F157" s="408"/>
      <c r="G157" s="408"/>
      <c r="H157" s="407"/>
      <c r="I157" s="409"/>
      <c r="J157" s="407"/>
      <c r="K157" s="410"/>
      <c r="L157" s="410"/>
    </row>
    <row r="158" spans="1:12" s="208" customFormat="1" ht="15.75" x14ac:dyDescent="0.25">
      <c r="A158" s="965" t="s">
        <v>424</v>
      </c>
      <c r="B158" s="966"/>
      <c r="C158" s="967"/>
      <c r="D158" s="354"/>
      <c r="E158" s="354"/>
      <c r="F158" s="408"/>
      <c r="G158" s="408"/>
      <c r="H158" s="407"/>
      <c r="I158" s="409"/>
      <c r="J158" s="407"/>
      <c r="K158" s="410"/>
      <c r="L158" s="410"/>
    </row>
    <row r="159" spans="1:12" s="294" customFormat="1" ht="15.75" x14ac:dyDescent="0.25">
      <c r="A159" s="968" t="s">
        <v>438</v>
      </c>
      <c r="B159" s="969"/>
      <c r="C159" s="969"/>
      <c r="D159" s="411"/>
      <c r="E159" s="411"/>
      <c r="F159" s="408"/>
      <c r="G159" s="408"/>
      <c r="H159" s="407"/>
      <c r="I159" s="409"/>
      <c r="J159" s="407"/>
      <c r="K159" s="410"/>
      <c r="L159" s="410"/>
    </row>
    <row r="160" spans="1:12" ht="46.5" customHeight="1" thickBot="1" x14ac:dyDescent="0.3">
      <c r="A160" s="921" t="s">
        <v>578</v>
      </c>
      <c r="B160" s="921"/>
      <c r="C160" s="921"/>
      <c r="D160" s="921"/>
      <c r="E160" s="921"/>
      <c r="F160" s="921"/>
      <c r="G160" s="921"/>
      <c r="H160" s="921"/>
      <c r="I160" s="921"/>
    </row>
    <row r="161" spans="1:8" ht="16.5" thickBot="1" x14ac:dyDescent="0.3">
      <c r="A161" s="941" t="s">
        <v>0</v>
      </c>
      <c r="B161" s="941" t="s">
        <v>16</v>
      </c>
      <c r="C161" s="938" t="s">
        <v>540</v>
      </c>
      <c r="D161" s="939"/>
      <c r="E161" s="940"/>
    </row>
    <row r="162" spans="1:8" ht="16.5" thickBot="1" x14ac:dyDescent="0.3">
      <c r="A162" s="942"/>
      <c r="B162" s="942"/>
      <c r="C162" s="278" t="s">
        <v>548</v>
      </c>
      <c r="D162" s="278" t="s">
        <v>549</v>
      </c>
      <c r="E162" s="278" t="s">
        <v>550</v>
      </c>
    </row>
    <row r="163" spans="1:8" ht="23.25" thickBot="1" x14ac:dyDescent="0.3">
      <c r="A163" s="943"/>
      <c r="B163" s="943"/>
      <c r="C163" s="285" t="s">
        <v>512</v>
      </c>
      <c r="D163" s="285" t="s">
        <v>513</v>
      </c>
      <c r="E163" s="285" t="s">
        <v>514</v>
      </c>
    </row>
    <row r="164" spans="1:8" ht="16.5" thickBot="1" x14ac:dyDescent="0.3">
      <c r="A164" s="279">
        <v>1</v>
      </c>
      <c r="B164" s="278">
        <v>2</v>
      </c>
      <c r="C164" s="278">
        <v>3</v>
      </c>
      <c r="D164" s="278">
        <v>4</v>
      </c>
      <c r="E164" s="278">
        <v>5</v>
      </c>
    </row>
    <row r="165" spans="1:8" ht="48" thickBot="1" x14ac:dyDescent="0.3">
      <c r="A165" s="280" t="s">
        <v>579</v>
      </c>
      <c r="B165" s="278">
        <v>300</v>
      </c>
      <c r="C165" s="319">
        <f>H174+H179+H184</f>
        <v>0</v>
      </c>
      <c r="D165" s="319">
        <f>G187</f>
        <v>0</v>
      </c>
      <c r="E165" s="319">
        <f>H187</f>
        <v>0</v>
      </c>
    </row>
    <row r="166" spans="1:8" ht="63.75" thickBot="1" x14ac:dyDescent="0.3">
      <c r="A166" s="280" t="s">
        <v>580</v>
      </c>
      <c r="B166" s="278">
        <v>600</v>
      </c>
      <c r="C166" s="319">
        <f>C165</f>
        <v>0</v>
      </c>
      <c r="D166" s="319">
        <f>D165</f>
        <v>0</v>
      </c>
      <c r="E166" s="319">
        <f>E165</f>
        <v>0</v>
      </c>
    </row>
    <row r="168" spans="1:8" x14ac:dyDescent="0.25">
      <c r="A168" s="921" t="s">
        <v>581</v>
      </c>
      <c r="B168" s="937"/>
      <c r="C168" s="937"/>
      <c r="D168" s="937"/>
      <c r="E168" s="937"/>
      <c r="F168" s="937"/>
      <c r="G168" s="937"/>
      <c r="H168" s="937"/>
    </row>
    <row r="169" spans="1:8" ht="15.75" thickBot="1" x14ac:dyDescent="0.3"/>
    <row r="170" spans="1:8" ht="16.5" thickBot="1" x14ac:dyDescent="0.3">
      <c r="A170" s="941" t="s">
        <v>34</v>
      </c>
      <c r="B170" s="941" t="s">
        <v>16</v>
      </c>
      <c r="C170" s="938" t="s">
        <v>582</v>
      </c>
      <c r="D170" s="939"/>
      <c r="E170" s="940"/>
      <c r="F170" s="938" t="s">
        <v>583</v>
      </c>
      <c r="G170" s="939"/>
      <c r="H170" s="940"/>
    </row>
    <row r="171" spans="1:8" ht="16.5" thickBot="1" x14ac:dyDescent="0.3">
      <c r="A171" s="942"/>
      <c r="B171" s="942"/>
      <c r="C171" s="278" t="s">
        <v>548</v>
      </c>
      <c r="D171" s="278" t="s">
        <v>549</v>
      </c>
      <c r="E171" s="278" t="s">
        <v>550</v>
      </c>
      <c r="F171" s="278" t="s">
        <v>548</v>
      </c>
      <c r="G171" s="278" t="s">
        <v>549</v>
      </c>
      <c r="H171" s="278" t="s">
        <v>550</v>
      </c>
    </row>
    <row r="172" spans="1:8" ht="34.5" thickBot="1" x14ac:dyDescent="0.3">
      <c r="A172" s="943"/>
      <c r="B172" s="943"/>
      <c r="C172" s="285" t="s">
        <v>512</v>
      </c>
      <c r="D172" s="285" t="s">
        <v>513</v>
      </c>
      <c r="E172" s="285" t="s">
        <v>514</v>
      </c>
      <c r="F172" s="285" t="s">
        <v>512</v>
      </c>
      <c r="G172" s="285" t="s">
        <v>513</v>
      </c>
      <c r="H172" s="285" t="s">
        <v>514</v>
      </c>
    </row>
    <row r="173" spans="1:8" ht="16.5" thickBot="1" x14ac:dyDescent="0.3">
      <c r="A173" s="335">
        <v>1</v>
      </c>
      <c r="B173" s="321">
        <v>2</v>
      </c>
      <c r="C173" s="321">
        <v>3</v>
      </c>
      <c r="D173" s="321">
        <v>4</v>
      </c>
      <c r="E173" s="321">
        <v>5</v>
      </c>
      <c r="F173" s="321">
        <v>6</v>
      </c>
      <c r="G173" s="321">
        <v>7</v>
      </c>
      <c r="H173" s="321">
        <v>8</v>
      </c>
    </row>
    <row r="174" spans="1:8" s="294" customFormat="1" ht="47.25" x14ac:dyDescent="0.25">
      <c r="A174" s="329" t="s">
        <v>37</v>
      </c>
      <c r="B174" s="330">
        <v>100</v>
      </c>
      <c r="C174" s="331">
        <f>C179</f>
        <v>0</v>
      </c>
      <c r="D174" s="331">
        <f>L133</f>
        <v>0</v>
      </c>
      <c r="E174" s="331">
        <f>L156</f>
        <v>0</v>
      </c>
      <c r="F174" s="332">
        <f>F175</f>
        <v>0</v>
      </c>
      <c r="G174" s="333">
        <f>H174</f>
        <v>0</v>
      </c>
      <c r="H174" s="334">
        <f>H175</f>
        <v>0</v>
      </c>
    </row>
    <row r="175" spans="1:8" ht="15.75" x14ac:dyDescent="0.25">
      <c r="A175" s="325" t="s">
        <v>4</v>
      </c>
      <c r="B175" s="944">
        <v>110</v>
      </c>
      <c r="C175" s="311"/>
      <c r="D175" s="311"/>
      <c r="E175" s="311"/>
      <c r="F175" s="955">
        <f>L110*22%</f>
        <v>0</v>
      </c>
      <c r="G175" s="948">
        <f>H175</f>
        <v>0</v>
      </c>
      <c r="H175" s="946">
        <f>L156*22%</f>
        <v>0</v>
      </c>
    </row>
    <row r="176" spans="1:8" ht="15.75" x14ac:dyDescent="0.25">
      <c r="A176" s="325" t="s">
        <v>39</v>
      </c>
      <c r="B176" s="944"/>
      <c r="C176" s="311"/>
      <c r="D176" s="311"/>
      <c r="E176" s="311"/>
      <c r="F176" s="956"/>
      <c r="G176" s="953"/>
      <c r="H176" s="952"/>
    </row>
    <row r="177" spans="1:14" ht="16.5" hidden="1" customHeight="1" thickBot="1" x14ac:dyDescent="0.3">
      <c r="A177" s="325" t="s">
        <v>41</v>
      </c>
      <c r="B177" s="283">
        <v>120</v>
      </c>
      <c r="C177" s="311"/>
      <c r="D177" s="311"/>
      <c r="E177" s="311"/>
      <c r="F177" s="314"/>
      <c r="G177" s="63"/>
      <c r="H177" s="326"/>
    </row>
    <row r="178" spans="1:14" ht="63.75" hidden="1" customHeight="1" thickBot="1" x14ac:dyDescent="0.3">
      <c r="A178" s="325" t="s">
        <v>584</v>
      </c>
      <c r="B178" s="283">
        <v>130</v>
      </c>
      <c r="C178" s="311"/>
      <c r="D178" s="311"/>
      <c r="E178" s="311"/>
      <c r="F178" s="314"/>
      <c r="G178" s="63"/>
      <c r="H178" s="326"/>
    </row>
    <row r="179" spans="1:14" s="294" customFormat="1" ht="47.25" x14ac:dyDescent="0.25">
      <c r="A179" s="323" t="s">
        <v>585</v>
      </c>
      <c r="B179" s="293">
        <v>200</v>
      </c>
      <c r="C179" s="317">
        <f>C180</f>
        <v>0</v>
      </c>
      <c r="D179" s="317">
        <f>D174</f>
        <v>0</v>
      </c>
      <c r="E179" s="317">
        <f>E174</f>
        <v>0</v>
      </c>
      <c r="F179" s="312">
        <f>F180+F183</f>
        <v>0</v>
      </c>
      <c r="G179" s="313">
        <f>H179</f>
        <v>0</v>
      </c>
      <c r="H179" s="324">
        <f>H180+H183</f>
        <v>0</v>
      </c>
    </row>
    <row r="180" spans="1:14" ht="15.75" x14ac:dyDescent="0.25">
      <c r="A180" s="325" t="s">
        <v>4</v>
      </c>
      <c r="B180" s="944">
        <v>210</v>
      </c>
      <c r="C180" s="950">
        <f>C183</f>
        <v>0</v>
      </c>
      <c r="D180" s="950">
        <f>D179</f>
        <v>0</v>
      </c>
      <c r="E180" s="950">
        <f>E179</f>
        <v>0</v>
      </c>
      <c r="F180" s="955">
        <f>L110*2.9%</f>
        <v>0</v>
      </c>
      <c r="G180" s="948">
        <f>H180</f>
        <v>0</v>
      </c>
      <c r="H180" s="946">
        <f>L156*2.9%</f>
        <v>0</v>
      </c>
    </row>
    <row r="181" spans="1:14" ht="78.75" x14ac:dyDescent="0.25">
      <c r="A181" s="325" t="s">
        <v>46</v>
      </c>
      <c r="B181" s="944"/>
      <c r="C181" s="954"/>
      <c r="D181" s="954"/>
      <c r="E181" s="954"/>
      <c r="F181" s="956"/>
      <c r="G181" s="953"/>
      <c r="H181" s="952"/>
    </row>
    <row r="182" spans="1:14" ht="63.75" hidden="1" customHeight="1" thickBot="1" x14ac:dyDescent="0.3">
      <c r="A182" s="325" t="s">
        <v>48</v>
      </c>
      <c r="B182" s="283">
        <v>220</v>
      </c>
      <c r="C182" s="311"/>
      <c r="D182" s="311"/>
      <c r="E182" s="311"/>
      <c r="F182" s="314"/>
      <c r="G182" s="63"/>
      <c r="H182" s="326"/>
    </row>
    <row r="183" spans="1:14" ht="78.75" x14ac:dyDescent="0.25">
      <c r="A183" s="325" t="s">
        <v>50</v>
      </c>
      <c r="B183" s="283">
        <v>230</v>
      </c>
      <c r="C183" s="318">
        <f>C184</f>
        <v>0</v>
      </c>
      <c r="D183" s="318">
        <f>D180</f>
        <v>0</v>
      </c>
      <c r="E183" s="318">
        <f>E180</f>
        <v>0</v>
      </c>
      <c r="F183" s="315">
        <f>L110*0.2%</f>
        <v>0</v>
      </c>
      <c r="G183" s="316">
        <f>H183</f>
        <v>0</v>
      </c>
      <c r="H183" s="327">
        <f>L156*0.2%</f>
        <v>0</v>
      </c>
    </row>
    <row r="184" spans="1:14" s="294" customFormat="1" ht="63" x14ac:dyDescent="0.25">
      <c r="A184" s="323" t="s">
        <v>586</v>
      </c>
      <c r="B184" s="293">
        <v>300</v>
      </c>
      <c r="C184" s="317">
        <f>C185</f>
        <v>0</v>
      </c>
      <c r="D184" s="317">
        <f>D179</f>
        <v>0</v>
      </c>
      <c r="E184" s="317">
        <f>E179</f>
        <v>0</v>
      </c>
      <c r="F184" s="312">
        <f>F185</f>
        <v>0</v>
      </c>
      <c r="G184" s="313">
        <f>H184</f>
        <v>0</v>
      </c>
      <c r="H184" s="324">
        <f>H185</f>
        <v>0</v>
      </c>
    </row>
    <row r="185" spans="1:14" ht="15.75" x14ac:dyDescent="0.25">
      <c r="A185" s="325" t="s">
        <v>4</v>
      </c>
      <c r="B185" s="944">
        <v>310</v>
      </c>
      <c r="C185" s="950">
        <f>L110</f>
        <v>0</v>
      </c>
      <c r="D185" s="950">
        <f>D184</f>
        <v>0</v>
      </c>
      <c r="E185" s="950">
        <f>E183</f>
        <v>0</v>
      </c>
      <c r="F185" s="955">
        <f>L110*5.1%</f>
        <v>0</v>
      </c>
      <c r="G185" s="948">
        <f>H185</f>
        <v>0</v>
      </c>
      <c r="H185" s="946">
        <f>L156*5.1%</f>
        <v>0</v>
      </c>
    </row>
    <row r="186" spans="1:14" ht="48" thickBot="1" x14ac:dyDescent="0.3">
      <c r="A186" s="328" t="s">
        <v>587</v>
      </c>
      <c r="B186" s="945"/>
      <c r="C186" s="951"/>
      <c r="D186" s="951"/>
      <c r="E186" s="951"/>
      <c r="F186" s="957"/>
      <c r="G186" s="949"/>
      <c r="H186" s="947"/>
    </row>
    <row r="187" spans="1:14" ht="16.5" thickBot="1" x14ac:dyDescent="0.3">
      <c r="A187" s="320" t="s">
        <v>407</v>
      </c>
      <c r="B187" s="321">
        <v>9000</v>
      </c>
      <c r="C187" s="321" t="s">
        <v>454</v>
      </c>
      <c r="D187" s="321" t="s">
        <v>454</v>
      </c>
      <c r="E187" s="321" t="s">
        <v>454</v>
      </c>
      <c r="F187" s="322">
        <f>F174+F179+F184</f>
        <v>0</v>
      </c>
      <c r="G187" s="322">
        <f t="shared" ref="G187:H187" si="9">G174+G179+G184</f>
        <v>0</v>
      </c>
      <c r="H187" s="322">
        <f t="shared" si="9"/>
        <v>0</v>
      </c>
    </row>
    <row r="190" spans="1:14" ht="56.25" customHeight="1" x14ac:dyDescent="0.25">
      <c r="A190" s="921" t="s">
        <v>588</v>
      </c>
      <c r="B190" s="921"/>
      <c r="C190" s="921"/>
      <c r="D190" s="921"/>
      <c r="E190" s="921"/>
      <c r="F190" s="921"/>
      <c r="G190" s="921"/>
      <c r="H190" s="921"/>
    </row>
    <row r="191" spans="1:14" s="208" customFormat="1" ht="19.5" customHeight="1" thickBot="1" x14ac:dyDescent="0.3">
      <c r="A191" s="356" t="s">
        <v>652</v>
      </c>
      <c r="B191" s="272"/>
      <c r="C191" s="272"/>
      <c r="D191" s="272"/>
      <c r="E191" s="272"/>
      <c r="F191" s="272"/>
      <c r="G191" s="272"/>
      <c r="H191" s="272"/>
    </row>
    <row r="192" spans="1:14" ht="16.5" thickBot="1" x14ac:dyDescent="0.3">
      <c r="A192" s="941" t="s">
        <v>30</v>
      </c>
      <c r="B192" s="941" t="s">
        <v>16</v>
      </c>
      <c r="C192" s="938" t="s">
        <v>589</v>
      </c>
      <c r="D192" s="939"/>
      <c r="E192" s="940"/>
      <c r="F192" s="938" t="s">
        <v>590</v>
      </c>
      <c r="G192" s="939"/>
      <c r="H192" s="940"/>
      <c r="I192" s="938" t="s">
        <v>591</v>
      </c>
      <c r="J192" s="939"/>
      <c r="K192" s="940"/>
      <c r="L192" s="938" t="s">
        <v>540</v>
      </c>
      <c r="M192" s="939"/>
      <c r="N192" s="940"/>
    </row>
    <row r="193" spans="1:14" ht="16.5" thickBot="1" x14ac:dyDescent="0.3">
      <c r="A193" s="942"/>
      <c r="B193" s="942"/>
      <c r="C193" s="278" t="s">
        <v>548</v>
      </c>
      <c r="D193" s="278" t="s">
        <v>549</v>
      </c>
      <c r="E193" s="278" t="s">
        <v>550</v>
      </c>
      <c r="F193" s="278" t="s">
        <v>548</v>
      </c>
      <c r="G193" s="278" t="s">
        <v>549</v>
      </c>
      <c r="H193" s="278" t="s">
        <v>550</v>
      </c>
      <c r="I193" s="278" t="s">
        <v>548</v>
      </c>
      <c r="J193" s="278" t="s">
        <v>549</v>
      </c>
      <c r="K193" s="278" t="s">
        <v>550</v>
      </c>
      <c r="L193" s="278" t="s">
        <v>548</v>
      </c>
      <c r="M193" s="278" t="s">
        <v>549</v>
      </c>
      <c r="N193" s="278" t="s">
        <v>550</v>
      </c>
    </row>
    <row r="194" spans="1:14" s="286" customFormat="1" ht="34.5" thickBot="1" x14ac:dyDescent="0.25">
      <c r="A194" s="943"/>
      <c r="B194" s="943"/>
      <c r="C194" s="285" t="s">
        <v>512</v>
      </c>
      <c r="D194" s="285" t="s">
        <v>513</v>
      </c>
      <c r="E194" s="285" t="s">
        <v>514</v>
      </c>
      <c r="F194" s="285" t="s">
        <v>512</v>
      </c>
      <c r="G194" s="285" t="s">
        <v>513</v>
      </c>
      <c r="H194" s="285" t="s">
        <v>514</v>
      </c>
      <c r="I194" s="285" t="s">
        <v>512</v>
      </c>
      <c r="J194" s="285" t="s">
        <v>513</v>
      </c>
      <c r="K194" s="285" t="s">
        <v>514</v>
      </c>
      <c r="L194" s="285" t="s">
        <v>512</v>
      </c>
      <c r="M194" s="285" t="s">
        <v>513</v>
      </c>
      <c r="N194" s="285" t="s">
        <v>514</v>
      </c>
    </row>
    <row r="195" spans="1:14" ht="16.5" thickBot="1" x14ac:dyDescent="0.3">
      <c r="A195" s="279">
        <v>1</v>
      </c>
      <c r="B195" s="278">
        <v>2</v>
      </c>
      <c r="C195" s="278">
        <v>3</v>
      </c>
      <c r="D195" s="278">
        <v>4</v>
      </c>
      <c r="E195" s="278">
        <v>5</v>
      </c>
      <c r="F195" s="278">
        <v>6</v>
      </c>
      <c r="G195" s="278">
        <v>7</v>
      </c>
      <c r="H195" s="278">
        <v>8</v>
      </c>
      <c r="I195" s="278">
        <v>9</v>
      </c>
      <c r="J195" s="278">
        <v>10</v>
      </c>
      <c r="K195" s="278">
        <v>11</v>
      </c>
      <c r="L195" s="278">
        <v>12</v>
      </c>
      <c r="M195" s="278">
        <v>13</v>
      </c>
      <c r="N195" s="278">
        <v>14</v>
      </c>
    </row>
    <row r="196" spans="1:14" ht="16.5" thickBot="1" x14ac:dyDescent="0.3">
      <c r="A196" s="280" t="s">
        <v>57</v>
      </c>
      <c r="B196" s="278">
        <v>1</v>
      </c>
      <c r="C196" s="336">
        <v>450</v>
      </c>
      <c r="D196" s="336">
        <v>450</v>
      </c>
      <c r="E196" s="336">
        <v>450</v>
      </c>
      <c r="F196" s="281">
        <v>1</v>
      </c>
      <c r="G196" s="281">
        <v>1</v>
      </c>
      <c r="H196" s="281">
        <v>1</v>
      </c>
      <c r="I196" s="281">
        <v>4</v>
      </c>
      <c r="J196" s="281">
        <v>4</v>
      </c>
      <c r="K196" s="281">
        <v>4</v>
      </c>
      <c r="L196" s="336">
        <f>C196*F196*I196</f>
        <v>1800</v>
      </c>
      <c r="M196" s="336">
        <f>D196*G196*J196</f>
        <v>1800</v>
      </c>
      <c r="N196" s="336">
        <f>E196*H196*K196</f>
        <v>1800</v>
      </c>
    </row>
    <row r="197" spans="1:14" ht="16.5" thickBot="1" x14ac:dyDescent="0.3">
      <c r="A197" s="280" t="s">
        <v>58</v>
      </c>
      <c r="B197" s="278">
        <v>2</v>
      </c>
      <c r="C197" s="336">
        <v>6000</v>
      </c>
      <c r="D197" s="336">
        <v>6000</v>
      </c>
      <c r="E197" s="336">
        <v>6000</v>
      </c>
      <c r="F197" s="281">
        <v>1</v>
      </c>
      <c r="G197" s="281">
        <v>1</v>
      </c>
      <c r="H197" s="281">
        <v>1</v>
      </c>
      <c r="I197" s="281">
        <v>1</v>
      </c>
      <c r="J197" s="281">
        <v>1</v>
      </c>
      <c r="K197" s="281">
        <v>1</v>
      </c>
      <c r="L197" s="336">
        <f t="shared" ref="L197:L198" si="10">C197*F197*I197</f>
        <v>6000</v>
      </c>
      <c r="M197" s="336">
        <f t="shared" ref="M197:M198" si="11">D197*G197*J197</f>
        <v>6000</v>
      </c>
      <c r="N197" s="336">
        <f t="shared" ref="N197:N198" si="12">E197*H197*K197</f>
        <v>6000</v>
      </c>
    </row>
    <row r="198" spans="1:14" ht="16.5" thickBot="1" x14ac:dyDescent="0.3">
      <c r="A198" s="280" t="s">
        <v>59</v>
      </c>
      <c r="B198" s="278">
        <v>3</v>
      </c>
      <c r="C198" s="336">
        <v>1500</v>
      </c>
      <c r="D198" s="336">
        <v>1500</v>
      </c>
      <c r="E198" s="336">
        <v>1500</v>
      </c>
      <c r="F198" s="281">
        <v>1</v>
      </c>
      <c r="G198" s="281">
        <v>1</v>
      </c>
      <c r="H198" s="281">
        <v>1</v>
      </c>
      <c r="I198" s="281">
        <v>3</v>
      </c>
      <c r="J198" s="281">
        <v>3</v>
      </c>
      <c r="K198" s="281">
        <v>3</v>
      </c>
      <c r="L198" s="336">
        <f t="shared" si="10"/>
        <v>4500</v>
      </c>
      <c r="M198" s="336">
        <f t="shared" si="11"/>
        <v>4500</v>
      </c>
      <c r="N198" s="336">
        <f t="shared" si="12"/>
        <v>4500</v>
      </c>
    </row>
    <row r="199" spans="1:14" ht="16.5" thickBot="1" x14ac:dyDescent="0.3">
      <c r="A199" s="280" t="s">
        <v>407</v>
      </c>
      <c r="B199" s="278">
        <v>9000</v>
      </c>
      <c r="C199" s="278" t="s">
        <v>454</v>
      </c>
      <c r="D199" s="278" t="s">
        <v>454</v>
      </c>
      <c r="E199" s="278" t="s">
        <v>454</v>
      </c>
      <c r="F199" s="278" t="s">
        <v>454</v>
      </c>
      <c r="G199" s="278" t="s">
        <v>454</v>
      </c>
      <c r="H199" s="278" t="s">
        <v>454</v>
      </c>
      <c r="I199" s="278" t="s">
        <v>454</v>
      </c>
      <c r="J199" s="278" t="s">
        <v>454</v>
      </c>
      <c r="K199" s="278" t="s">
        <v>454</v>
      </c>
      <c r="L199" s="336">
        <f>SUM(L196:L198)</f>
        <v>12300</v>
      </c>
      <c r="M199" s="336">
        <f t="shared" ref="M199:N199" si="13">SUM(M196:M198)</f>
        <v>12300</v>
      </c>
      <c r="N199" s="336">
        <f t="shared" si="13"/>
        <v>12300</v>
      </c>
    </row>
    <row r="200" spans="1:14" ht="15.75" x14ac:dyDescent="0.25">
      <c r="A200" s="268"/>
    </row>
    <row r="201" spans="1:14" x14ac:dyDescent="0.25">
      <c r="A201" s="937" t="s">
        <v>592</v>
      </c>
      <c r="B201" s="937"/>
      <c r="C201" s="937"/>
      <c r="D201" s="937"/>
      <c r="E201" s="937"/>
      <c r="F201" s="937"/>
      <c r="G201" s="937"/>
    </row>
    <row r="202" spans="1:14" ht="15.75" thickBot="1" x14ac:dyDescent="0.3"/>
    <row r="203" spans="1:14" ht="31.5" customHeight="1" thickBot="1" x14ac:dyDescent="0.3">
      <c r="A203" s="941" t="s">
        <v>30</v>
      </c>
      <c r="B203" s="941" t="s">
        <v>16</v>
      </c>
      <c r="C203" s="938" t="s">
        <v>593</v>
      </c>
      <c r="D203" s="939"/>
      <c r="E203" s="940"/>
      <c r="F203" s="938" t="s">
        <v>594</v>
      </c>
      <c r="G203" s="939"/>
      <c r="H203" s="940"/>
      <c r="I203" s="938" t="s">
        <v>595</v>
      </c>
      <c r="J203" s="939"/>
      <c r="K203" s="940"/>
      <c r="L203" s="938" t="s">
        <v>540</v>
      </c>
      <c r="M203" s="939"/>
      <c r="N203" s="940"/>
    </row>
    <row r="204" spans="1:14" ht="16.5" thickBot="1" x14ac:dyDescent="0.3">
      <c r="A204" s="942"/>
      <c r="B204" s="942"/>
      <c r="C204" s="278" t="s">
        <v>548</v>
      </c>
      <c r="D204" s="278" t="s">
        <v>549</v>
      </c>
      <c r="E204" s="278" t="s">
        <v>550</v>
      </c>
      <c r="F204" s="278" t="s">
        <v>548</v>
      </c>
      <c r="G204" s="278" t="s">
        <v>549</v>
      </c>
      <c r="H204" s="278" t="s">
        <v>550</v>
      </c>
      <c r="I204" s="278" t="s">
        <v>548</v>
      </c>
      <c r="J204" s="278" t="s">
        <v>549</v>
      </c>
      <c r="K204" s="278" t="s">
        <v>550</v>
      </c>
      <c r="L204" s="278" t="s">
        <v>548</v>
      </c>
      <c r="M204" s="278" t="s">
        <v>549</v>
      </c>
      <c r="N204" s="278" t="s">
        <v>550</v>
      </c>
    </row>
    <row r="205" spans="1:14" s="286" customFormat="1" ht="34.5" thickBot="1" x14ac:dyDescent="0.25">
      <c r="A205" s="943"/>
      <c r="B205" s="943"/>
      <c r="C205" s="285" t="s">
        <v>512</v>
      </c>
      <c r="D205" s="285" t="s">
        <v>513</v>
      </c>
      <c r="E205" s="285" t="s">
        <v>514</v>
      </c>
      <c r="F205" s="285" t="s">
        <v>512</v>
      </c>
      <c r="G205" s="285" t="s">
        <v>513</v>
      </c>
      <c r="H205" s="285" t="s">
        <v>514</v>
      </c>
      <c r="I205" s="285" t="s">
        <v>512</v>
      </c>
      <c r="J205" s="285" t="s">
        <v>513</v>
      </c>
      <c r="K205" s="285" t="s">
        <v>514</v>
      </c>
      <c r="L205" s="285" t="s">
        <v>512</v>
      </c>
      <c r="M205" s="285" t="s">
        <v>513</v>
      </c>
      <c r="N205" s="285" t="s">
        <v>514</v>
      </c>
    </row>
    <row r="206" spans="1:14" ht="16.5" thickBot="1" x14ac:dyDescent="0.3">
      <c r="A206" s="279">
        <v>1</v>
      </c>
      <c r="B206" s="278">
        <v>2</v>
      </c>
      <c r="C206" s="278">
        <v>3</v>
      </c>
      <c r="D206" s="278">
        <v>4</v>
      </c>
      <c r="E206" s="278">
        <v>5</v>
      </c>
      <c r="F206" s="278">
        <v>6</v>
      </c>
      <c r="G206" s="278">
        <v>7</v>
      </c>
      <c r="H206" s="278">
        <v>8</v>
      </c>
      <c r="I206" s="278">
        <v>9</v>
      </c>
      <c r="J206" s="278">
        <v>10</v>
      </c>
      <c r="K206" s="278">
        <v>11</v>
      </c>
      <c r="L206" s="278">
        <v>12</v>
      </c>
      <c r="M206" s="278">
        <v>13</v>
      </c>
      <c r="N206" s="278">
        <v>14</v>
      </c>
    </row>
    <row r="207" spans="1:14" ht="32.25" thickBot="1" x14ac:dyDescent="0.3">
      <c r="A207" s="280" t="s">
        <v>399</v>
      </c>
      <c r="B207" s="278">
        <v>1</v>
      </c>
      <c r="C207" s="281">
        <v>2</v>
      </c>
      <c r="D207" s="281">
        <v>2</v>
      </c>
      <c r="E207" s="281">
        <v>2</v>
      </c>
      <c r="F207" s="281">
        <v>12</v>
      </c>
      <c r="G207" s="281">
        <v>12</v>
      </c>
      <c r="H207" s="281">
        <v>12</v>
      </c>
      <c r="I207" s="281">
        <v>75</v>
      </c>
      <c r="J207" s="281">
        <v>75</v>
      </c>
      <c r="K207" s="281">
        <v>75</v>
      </c>
      <c r="L207" s="281">
        <f>C207*F207*I207</f>
        <v>1800</v>
      </c>
      <c r="M207" s="281">
        <f>D207*G207*J207</f>
        <v>1800</v>
      </c>
      <c r="N207" s="281">
        <f>E207*H207*K207</f>
        <v>1800</v>
      </c>
    </row>
    <row r="208" spans="1:14" ht="16.5" thickBot="1" x14ac:dyDescent="0.3">
      <c r="A208" s="280" t="s">
        <v>407</v>
      </c>
      <c r="B208" s="278">
        <v>9000</v>
      </c>
      <c r="C208" s="278" t="s">
        <v>454</v>
      </c>
      <c r="D208" s="278" t="s">
        <v>454</v>
      </c>
      <c r="E208" s="278" t="s">
        <v>454</v>
      </c>
      <c r="F208" s="278" t="s">
        <v>454</v>
      </c>
      <c r="G208" s="278" t="s">
        <v>454</v>
      </c>
      <c r="H208" s="278" t="s">
        <v>454</v>
      </c>
      <c r="I208" s="278" t="s">
        <v>454</v>
      </c>
      <c r="J208" s="278" t="s">
        <v>454</v>
      </c>
      <c r="K208" s="278" t="s">
        <v>454</v>
      </c>
      <c r="L208" s="281">
        <f>L207</f>
        <v>1800</v>
      </c>
      <c r="M208" s="281">
        <f t="shared" ref="M208:N208" si="14">M207</f>
        <v>1800</v>
      </c>
      <c r="N208" s="281">
        <f t="shared" si="14"/>
        <v>1800</v>
      </c>
    </row>
    <row r="210" spans="1:11" s="208" customFormat="1" x14ac:dyDescent="0.25">
      <c r="A210" s="937" t="s">
        <v>633</v>
      </c>
      <c r="B210" s="937"/>
      <c r="C210" s="937"/>
      <c r="D210" s="937"/>
      <c r="E210" s="937"/>
      <c r="F210" s="937"/>
      <c r="G210" s="937"/>
      <c r="H210" s="937"/>
      <c r="I210" s="937"/>
    </row>
    <row r="211" spans="1:11" s="208" customFormat="1" ht="15.75" thickBot="1" x14ac:dyDescent="0.3">
      <c r="A211" s="356" t="s">
        <v>653</v>
      </c>
      <c r="B211" s="271"/>
      <c r="C211" s="271"/>
      <c r="D211" s="271"/>
      <c r="E211" s="271"/>
      <c r="F211" s="271"/>
      <c r="G211" s="271"/>
      <c r="H211" s="271"/>
      <c r="I211" s="271"/>
    </row>
    <row r="212" spans="1:11" s="208" customFormat="1" ht="33" customHeight="1" thickBot="1" x14ac:dyDescent="0.3">
      <c r="A212" s="941" t="s">
        <v>0</v>
      </c>
      <c r="B212" s="941" t="s">
        <v>16</v>
      </c>
      <c r="C212" s="938" t="s">
        <v>634</v>
      </c>
      <c r="D212" s="939"/>
      <c r="E212" s="940"/>
      <c r="F212" s="938" t="s">
        <v>654</v>
      </c>
      <c r="G212" s="939"/>
      <c r="H212" s="940"/>
      <c r="I212" s="938" t="s">
        <v>635</v>
      </c>
      <c r="J212" s="939"/>
      <c r="K212" s="940"/>
    </row>
    <row r="213" spans="1:11" s="208" customFormat="1" ht="16.5" thickBot="1" x14ac:dyDescent="0.3">
      <c r="A213" s="942"/>
      <c r="B213" s="942"/>
      <c r="C213" s="278" t="s">
        <v>548</v>
      </c>
      <c r="D213" s="278" t="s">
        <v>549</v>
      </c>
      <c r="E213" s="278" t="s">
        <v>550</v>
      </c>
      <c r="F213" s="278" t="s">
        <v>548</v>
      </c>
      <c r="G213" s="278" t="s">
        <v>549</v>
      </c>
      <c r="H213" s="278" t="s">
        <v>550</v>
      </c>
      <c r="I213" s="278" t="s">
        <v>548</v>
      </c>
      <c r="J213" s="278" t="s">
        <v>549</v>
      </c>
      <c r="K213" s="278" t="s">
        <v>550</v>
      </c>
    </row>
    <row r="214" spans="1:11" s="208" customFormat="1" ht="34.5" thickBot="1" x14ac:dyDescent="0.3">
      <c r="A214" s="943"/>
      <c r="B214" s="943"/>
      <c r="C214" s="285" t="s">
        <v>512</v>
      </c>
      <c r="D214" s="285" t="s">
        <v>513</v>
      </c>
      <c r="E214" s="285" t="s">
        <v>514</v>
      </c>
      <c r="F214" s="285" t="s">
        <v>512</v>
      </c>
      <c r="G214" s="285" t="s">
        <v>513</v>
      </c>
      <c r="H214" s="285" t="s">
        <v>514</v>
      </c>
      <c r="I214" s="285" t="s">
        <v>512</v>
      </c>
      <c r="J214" s="285" t="s">
        <v>513</v>
      </c>
      <c r="K214" s="285" t="s">
        <v>514</v>
      </c>
    </row>
    <row r="215" spans="1:11" s="208" customFormat="1" ht="15.75" x14ac:dyDescent="0.25">
      <c r="A215" s="277">
        <v>1</v>
      </c>
      <c r="B215" s="404">
        <v>2</v>
      </c>
      <c r="C215" s="404">
        <v>3</v>
      </c>
      <c r="D215" s="404">
        <v>4</v>
      </c>
      <c r="E215" s="404">
        <v>5</v>
      </c>
      <c r="F215" s="404">
        <v>6</v>
      </c>
      <c r="G215" s="404">
        <v>7</v>
      </c>
      <c r="H215" s="404">
        <v>8</v>
      </c>
      <c r="I215" s="404">
        <v>9</v>
      </c>
      <c r="J215" s="404">
        <v>10</v>
      </c>
      <c r="K215" s="404">
        <v>11</v>
      </c>
    </row>
    <row r="216" spans="1:11" s="208" customFormat="1" ht="47.25" x14ac:dyDescent="0.25">
      <c r="A216" s="284" t="s">
        <v>636</v>
      </c>
      <c r="B216" s="283"/>
      <c r="C216" s="284"/>
      <c r="D216" s="284"/>
      <c r="E216" s="284"/>
      <c r="F216" s="284"/>
      <c r="G216" s="284"/>
      <c r="H216" s="284"/>
      <c r="I216" s="284"/>
      <c r="J216" s="284"/>
      <c r="K216" s="284"/>
    </row>
    <row r="217" spans="1:11" s="208" customFormat="1" ht="15.75" x14ac:dyDescent="0.25">
      <c r="A217" s="259" t="s">
        <v>411</v>
      </c>
      <c r="B217" s="259">
        <v>1</v>
      </c>
      <c r="C217" s="402"/>
      <c r="D217" s="402"/>
      <c r="E217" s="402"/>
      <c r="F217" s="283"/>
      <c r="G217" s="283"/>
      <c r="H217" s="283"/>
      <c r="I217" s="403"/>
      <c r="J217" s="403"/>
      <c r="K217" s="403"/>
    </row>
    <row r="218" spans="1:11" s="208" customFormat="1" ht="15.75" x14ac:dyDescent="0.25">
      <c r="A218" s="259" t="s">
        <v>437</v>
      </c>
      <c r="B218" s="259">
        <v>2</v>
      </c>
      <c r="C218" s="402"/>
      <c r="D218" s="402"/>
      <c r="E218" s="402"/>
      <c r="F218" s="283"/>
      <c r="G218" s="283"/>
      <c r="H218" s="283"/>
      <c r="I218" s="403"/>
      <c r="J218" s="403"/>
      <c r="K218" s="403"/>
    </row>
    <row r="219" spans="1:11" s="208" customFormat="1" ht="15.75" x14ac:dyDescent="0.25">
      <c r="A219" s="259" t="s">
        <v>412</v>
      </c>
      <c r="B219" s="259">
        <v>3</v>
      </c>
      <c r="C219" s="402"/>
      <c r="D219" s="402"/>
      <c r="E219" s="402"/>
      <c r="F219" s="283"/>
      <c r="G219" s="283"/>
      <c r="H219" s="283"/>
      <c r="I219" s="403"/>
      <c r="J219" s="403"/>
      <c r="K219" s="403"/>
    </row>
    <row r="220" spans="1:11" s="208" customFormat="1" ht="15.75" x14ac:dyDescent="0.25">
      <c r="A220" s="259" t="s">
        <v>413</v>
      </c>
      <c r="B220" s="259">
        <v>4</v>
      </c>
      <c r="C220" s="402"/>
      <c r="D220" s="402"/>
      <c r="E220" s="402"/>
      <c r="F220" s="283"/>
      <c r="G220" s="283"/>
      <c r="H220" s="283"/>
      <c r="I220" s="403"/>
      <c r="J220" s="403"/>
      <c r="K220" s="403"/>
    </row>
    <row r="221" spans="1:11" s="208" customFormat="1" ht="15.75" x14ac:dyDescent="0.25">
      <c r="A221" s="259" t="s">
        <v>414</v>
      </c>
      <c r="B221" s="259">
        <v>5</v>
      </c>
      <c r="C221" s="402"/>
      <c r="D221" s="402"/>
      <c r="E221" s="402"/>
      <c r="F221" s="283"/>
      <c r="G221" s="283"/>
      <c r="H221" s="283"/>
      <c r="I221" s="403"/>
      <c r="J221" s="403"/>
      <c r="K221" s="403"/>
    </row>
    <row r="222" spans="1:11" s="208" customFormat="1" ht="15.75" x14ac:dyDescent="0.25">
      <c r="A222" s="259" t="s">
        <v>415</v>
      </c>
      <c r="B222" s="259">
        <v>6</v>
      </c>
      <c r="C222" s="402"/>
      <c r="D222" s="402"/>
      <c r="E222" s="402"/>
      <c r="F222" s="283"/>
      <c r="G222" s="283"/>
      <c r="H222" s="283"/>
      <c r="I222" s="403"/>
      <c r="J222" s="403"/>
      <c r="K222" s="403"/>
    </row>
    <row r="223" spans="1:11" s="208" customFormat="1" ht="15.75" x14ac:dyDescent="0.25">
      <c r="A223" s="259" t="s">
        <v>417</v>
      </c>
      <c r="B223" s="259">
        <v>7</v>
      </c>
      <c r="C223" s="402"/>
      <c r="D223" s="402"/>
      <c r="E223" s="402"/>
      <c r="F223" s="283"/>
      <c r="G223" s="283"/>
      <c r="H223" s="283"/>
      <c r="I223" s="403"/>
      <c r="J223" s="403"/>
      <c r="K223" s="403"/>
    </row>
    <row r="224" spans="1:11" s="208" customFormat="1" ht="15.75" x14ac:dyDescent="0.25">
      <c r="A224" s="259" t="s">
        <v>418</v>
      </c>
      <c r="B224" s="259">
        <v>8</v>
      </c>
      <c r="C224" s="402"/>
      <c r="D224" s="402"/>
      <c r="E224" s="402"/>
      <c r="F224" s="283"/>
      <c r="G224" s="283"/>
      <c r="H224" s="283"/>
      <c r="I224" s="403"/>
      <c r="J224" s="403"/>
      <c r="K224" s="403"/>
    </row>
    <row r="225" spans="1:11" s="208" customFormat="1" ht="15.75" x14ac:dyDescent="0.25">
      <c r="A225" s="259" t="s">
        <v>416</v>
      </c>
      <c r="B225" s="259">
        <v>9</v>
      </c>
      <c r="C225" s="402"/>
      <c r="D225" s="402"/>
      <c r="E225" s="402"/>
      <c r="F225" s="283"/>
      <c r="G225" s="283"/>
      <c r="H225" s="283"/>
      <c r="I225" s="403"/>
      <c r="J225" s="403"/>
      <c r="K225" s="403"/>
    </row>
    <row r="226" spans="1:11" s="208" customFormat="1" ht="15.75" x14ac:dyDescent="0.25">
      <c r="A226" s="259"/>
      <c r="B226" s="259"/>
      <c r="C226" s="259"/>
      <c r="D226" s="259"/>
      <c r="E226" s="283"/>
      <c r="F226" s="283"/>
      <c r="G226" s="283"/>
      <c r="H226" s="293" t="s">
        <v>407</v>
      </c>
      <c r="I226" s="405">
        <f>SUM(I217:I225)</f>
        <v>0</v>
      </c>
      <c r="J226" s="405">
        <f t="shared" ref="J226:K226" si="15">SUM(J217:J225)</f>
        <v>0</v>
      </c>
      <c r="K226" s="405">
        <f t="shared" si="15"/>
        <v>0</v>
      </c>
    </row>
    <row r="227" spans="1:11" ht="30" customHeight="1" x14ac:dyDescent="0.25">
      <c r="A227" s="930" t="s">
        <v>596</v>
      </c>
      <c r="B227" s="930"/>
      <c r="C227" s="930"/>
      <c r="D227" s="930"/>
      <c r="E227" s="930"/>
      <c r="F227" s="930"/>
      <c r="G227" s="930"/>
      <c r="H227" s="930"/>
      <c r="I227" s="930"/>
      <c r="J227" s="406"/>
      <c r="K227" s="406"/>
    </row>
    <row r="228" spans="1:11" ht="15.75" thickBot="1" x14ac:dyDescent="0.3"/>
    <row r="229" spans="1:11" ht="31.5" customHeight="1" thickBot="1" x14ac:dyDescent="0.3">
      <c r="A229" s="931" t="s">
        <v>30</v>
      </c>
      <c r="B229" s="931" t="s">
        <v>16</v>
      </c>
      <c r="C229" s="934" t="s">
        <v>597</v>
      </c>
      <c r="D229" s="935"/>
      <c r="E229" s="936"/>
      <c r="F229" s="934" t="s">
        <v>598</v>
      </c>
      <c r="G229" s="935"/>
      <c r="H229" s="936"/>
      <c r="I229" s="934" t="s">
        <v>599</v>
      </c>
      <c r="J229" s="935"/>
      <c r="K229" s="936"/>
    </row>
    <row r="230" spans="1:11" ht="16.5" thickBot="1" x14ac:dyDescent="0.3">
      <c r="A230" s="932"/>
      <c r="B230" s="932"/>
      <c r="C230" s="278" t="s">
        <v>548</v>
      </c>
      <c r="D230" s="278" t="s">
        <v>549</v>
      </c>
      <c r="E230" s="278" t="s">
        <v>550</v>
      </c>
      <c r="F230" s="278" t="s">
        <v>548</v>
      </c>
      <c r="G230" s="278" t="s">
        <v>549</v>
      </c>
      <c r="H230" s="278" t="s">
        <v>550</v>
      </c>
      <c r="I230" s="278" t="s">
        <v>548</v>
      </c>
      <c r="J230" s="278" t="s">
        <v>549</v>
      </c>
      <c r="K230" s="278" t="s">
        <v>550</v>
      </c>
    </row>
    <row r="231" spans="1:11" s="286" customFormat="1" ht="34.5" thickBot="1" x14ac:dyDescent="0.25">
      <c r="A231" s="933"/>
      <c r="B231" s="933"/>
      <c r="C231" s="287" t="s">
        <v>512</v>
      </c>
      <c r="D231" s="287" t="s">
        <v>513</v>
      </c>
      <c r="E231" s="287" t="s">
        <v>514</v>
      </c>
      <c r="F231" s="287" t="s">
        <v>512</v>
      </c>
      <c r="G231" s="287" t="s">
        <v>513</v>
      </c>
      <c r="H231" s="287" t="s">
        <v>514</v>
      </c>
      <c r="I231" s="287" t="s">
        <v>512</v>
      </c>
      <c r="J231" s="287" t="s">
        <v>513</v>
      </c>
      <c r="K231" s="287" t="s">
        <v>514</v>
      </c>
    </row>
    <row r="232" spans="1:11" ht="16.5" thickBot="1" x14ac:dyDescent="0.3">
      <c r="A232" s="274">
        <v>1</v>
      </c>
      <c r="B232" s="273">
        <v>2</v>
      </c>
      <c r="C232" s="273">
        <v>3</v>
      </c>
      <c r="D232" s="273">
        <v>4</v>
      </c>
      <c r="E232" s="273">
        <v>5</v>
      </c>
      <c r="F232" s="273">
        <v>6</v>
      </c>
      <c r="G232" s="273">
        <v>7</v>
      </c>
      <c r="H232" s="273">
        <v>8</v>
      </c>
      <c r="I232" s="273">
        <v>9</v>
      </c>
      <c r="J232" s="273">
        <v>10</v>
      </c>
      <c r="K232" s="273">
        <v>11</v>
      </c>
    </row>
    <row r="233" spans="1:11" ht="16.5" thickBot="1" x14ac:dyDescent="0.3">
      <c r="A233" s="275"/>
      <c r="B233" s="273">
        <v>1</v>
      </c>
      <c r="C233" s="276"/>
      <c r="D233" s="276"/>
      <c r="E233" s="276"/>
      <c r="F233" s="276"/>
      <c r="G233" s="276"/>
      <c r="H233" s="276"/>
      <c r="I233" s="276"/>
      <c r="J233" s="276"/>
      <c r="K233" s="276"/>
    </row>
    <row r="234" spans="1:11" ht="16.5" thickBot="1" x14ac:dyDescent="0.3">
      <c r="A234" s="275" t="s">
        <v>407</v>
      </c>
      <c r="B234" s="273">
        <v>9000</v>
      </c>
      <c r="C234" s="273" t="s">
        <v>454</v>
      </c>
      <c r="D234" s="273" t="s">
        <v>454</v>
      </c>
      <c r="E234" s="273" t="s">
        <v>454</v>
      </c>
      <c r="F234" s="273" t="s">
        <v>454</v>
      </c>
      <c r="G234" s="273" t="s">
        <v>454</v>
      </c>
      <c r="H234" s="273" t="s">
        <v>454</v>
      </c>
      <c r="I234" s="276"/>
      <c r="J234" s="276"/>
      <c r="K234" s="276"/>
    </row>
    <row r="236" spans="1:11" ht="29.25" customHeight="1" thickBot="1" x14ac:dyDescent="0.3">
      <c r="A236" s="921" t="s">
        <v>600</v>
      </c>
      <c r="B236" s="921"/>
      <c r="C236" s="921"/>
      <c r="D236" s="921"/>
      <c r="E236" s="921"/>
      <c r="F236" s="921"/>
      <c r="G236" s="921"/>
      <c r="H236" s="921"/>
      <c r="I236" s="921"/>
      <c r="J236" s="921"/>
      <c r="K236" s="921"/>
    </row>
    <row r="237" spans="1:11" ht="16.5" thickBot="1" x14ac:dyDescent="0.3">
      <c r="A237" s="922" t="s">
        <v>0</v>
      </c>
      <c r="B237" s="922" t="s">
        <v>16</v>
      </c>
      <c r="C237" s="925" t="s">
        <v>540</v>
      </c>
      <c r="D237" s="926"/>
      <c r="E237" s="927"/>
    </row>
    <row r="238" spans="1:11" ht="16.5" thickBot="1" x14ac:dyDescent="0.3">
      <c r="A238" s="923"/>
      <c r="B238" s="923"/>
      <c r="C238" s="278" t="s">
        <v>548</v>
      </c>
      <c r="D238" s="278" t="s">
        <v>549</v>
      </c>
      <c r="E238" s="278" t="s">
        <v>550</v>
      </c>
    </row>
    <row r="239" spans="1:11" ht="23.25" thickBot="1" x14ac:dyDescent="0.3">
      <c r="A239" s="924"/>
      <c r="B239" s="924"/>
      <c r="C239" s="287" t="s">
        <v>512</v>
      </c>
      <c r="D239" s="287" t="s">
        <v>513</v>
      </c>
      <c r="E239" s="287" t="s">
        <v>514</v>
      </c>
    </row>
    <row r="240" spans="1:11" ht="16.5" thickBot="1" x14ac:dyDescent="0.3">
      <c r="A240" s="238">
        <v>1</v>
      </c>
      <c r="B240" s="178">
        <v>2</v>
      </c>
      <c r="C240" s="178">
        <v>3</v>
      </c>
      <c r="D240" s="178">
        <v>4</v>
      </c>
      <c r="E240" s="178">
        <v>5</v>
      </c>
    </row>
    <row r="241" spans="1:5" ht="111" hidden="1" thickBot="1" x14ac:dyDescent="0.3">
      <c r="A241" s="262" t="s">
        <v>601</v>
      </c>
      <c r="B241" s="178">
        <v>100</v>
      </c>
      <c r="C241" s="179"/>
      <c r="D241" s="179"/>
      <c r="E241" s="179"/>
    </row>
    <row r="242" spans="1:5" ht="79.5" hidden="1" thickBot="1" x14ac:dyDescent="0.3">
      <c r="A242" s="262" t="s">
        <v>602</v>
      </c>
      <c r="B242" s="178">
        <v>200</v>
      </c>
      <c r="C242" s="179"/>
      <c r="D242" s="179"/>
      <c r="E242" s="179"/>
    </row>
    <row r="243" spans="1:5" ht="32.25" thickBot="1" x14ac:dyDescent="0.3">
      <c r="A243" s="262" t="s">
        <v>603</v>
      </c>
      <c r="B243" s="178">
        <v>300</v>
      </c>
      <c r="C243" s="179"/>
      <c r="D243" s="179"/>
      <c r="E243" s="179"/>
    </row>
    <row r="244" spans="1:5" ht="16.5" thickBot="1" x14ac:dyDescent="0.3">
      <c r="A244" s="262" t="s">
        <v>4</v>
      </c>
      <c r="B244" s="263"/>
      <c r="C244" s="928"/>
      <c r="D244" s="928"/>
      <c r="E244" s="928"/>
    </row>
    <row r="245" spans="1:5" ht="16.5" thickBot="1" x14ac:dyDescent="0.3">
      <c r="A245" s="262" t="s">
        <v>604</v>
      </c>
      <c r="B245" s="178">
        <v>301</v>
      </c>
      <c r="C245" s="929"/>
      <c r="D245" s="929"/>
      <c r="E245" s="929"/>
    </row>
    <row r="246" spans="1:5" ht="16.5" thickBot="1" x14ac:dyDescent="0.3">
      <c r="A246" s="262" t="s">
        <v>605</v>
      </c>
      <c r="B246" s="178">
        <v>302</v>
      </c>
      <c r="C246" s="179"/>
      <c r="D246" s="179"/>
      <c r="E246" s="179"/>
    </row>
    <row r="247" spans="1:5" ht="16.5" thickBot="1" x14ac:dyDescent="0.3">
      <c r="A247" s="262" t="s">
        <v>606</v>
      </c>
      <c r="B247" s="178">
        <v>303</v>
      </c>
      <c r="C247" s="179"/>
      <c r="D247" s="179"/>
      <c r="E247" s="179"/>
    </row>
    <row r="248" spans="1:5" ht="16.5" hidden="1" thickBot="1" x14ac:dyDescent="0.3">
      <c r="A248" s="262" t="s">
        <v>607</v>
      </c>
      <c r="B248" s="178">
        <v>304</v>
      </c>
      <c r="C248" s="179"/>
      <c r="D248" s="179"/>
      <c r="E248" s="179"/>
    </row>
    <row r="249" spans="1:5" ht="16.5" thickBot="1" x14ac:dyDescent="0.3">
      <c r="A249" s="262" t="s">
        <v>608</v>
      </c>
      <c r="B249" s="178">
        <v>305</v>
      </c>
      <c r="C249" s="179"/>
      <c r="D249" s="179"/>
      <c r="E249" s="179"/>
    </row>
    <row r="250" spans="1:5" ht="16.5" thickBot="1" x14ac:dyDescent="0.3">
      <c r="A250" s="262" t="s">
        <v>609</v>
      </c>
      <c r="B250" s="178">
        <v>306</v>
      </c>
      <c r="C250" s="179"/>
      <c r="D250" s="179"/>
      <c r="E250" s="179"/>
    </row>
    <row r="251" spans="1:5" ht="48" thickBot="1" x14ac:dyDescent="0.3">
      <c r="A251" s="262" t="s">
        <v>610</v>
      </c>
      <c r="B251" s="178">
        <v>307</v>
      </c>
      <c r="C251" s="179"/>
      <c r="D251" s="179"/>
      <c r="E251" s="179"/>
    </row>
    <row r="252" spans="1:5" ht="126.75" thickBot="1" x14ac:dyDescent="0.3">
      <c r="A252" s="262" t="s">
        <v>611</v>
      </c>
      <c r="B252" s="178">
        <v>308</v>
      </c>
      <c r="C252" s="179"/>
      <c r="D252" s="179"/>
      <c r="E252" s="179"/>
    </row>
    <row r="253" spans="1:5" ht="32.25" thickBot="1" x14ac:dyDescent="0.3">
      <c r="A253" s="262" t="s">
        <v>612</v>
      </c>
      <c r="B253" s="178">
        <v>309</v>
      </c>
      <c r="C253" s="179"/>
      <c r="D253" s="179"/>
      <c r="E253" s="179"/>
    </row>
    <row r="254" spans="1:5" ht="32.25" thickBot="1" x14ac:dyDescent="0.3">
      <c r="A254" s="262" t="s">
        <v>613</v>
      </c>
      <c r="B254" s="178">
        <v>310</v>
      </c>
      <c r="C254" s="341">
        <f>I368</f>
        <v>0</v>
      </c>
      <c r="D254" s="341">
        <f>J368</f>
        <v>0</v>
      </c>
      <c r="E254" s="341">
        <f>K368</f>
        <v>0</v>
      </c>
    </row>
    <row r="255" spans="1:5" ht="111" hidden="1" thickBot="1" x14ac:dyDescent="0.3">
      <c r="A255" s="262" t="s">
        <v>614</v>
      </c>
      <c r="B255" s="178">
        <v>400</v>
      </c>
      <c r="C255" s="179"/>
      <c r="D255" s="179"/>
      <c r="E255" s="179"/>
    </row>
    <row r="256" spans="1:5" ht="79.5" thickBot="1" x14ac:dyDescent="0.3">
      <c r="A256" s="262" t="s">
        <v>615</v>
      </c>
      <c r="B256" s="178">
        <v>500</v>
      </c>
      <c r="C256" s="179"/>
      <c r="D256" s="179"/>
      <c r="E256" s="179"/>
    </row>
    <row r="257" spans="1:14" ht="63.75" thickBot="1" x14ac:dyDescent="0.3">
      <c r="A257" s="262" t="s">
        <v>616</v>
      </c>
      <c r="B257" s="178">
        <v>600</v>
      </c>
      <c r="C257" s="179"/>
      <c r="D257" s="179"/>
      <c r="E257" s="179"/>
    </row>
    <row r="259" spans="1:14" x14ac:dyDescent="0.25">
      <c r="A259" s="937" t="s">
        <v>617</v>
      </c>
      <c r="B259" s="937"/>
      <c r="C259" s="937"/>
      <c r="D259" s="937"/>
      <c r="E259" s="937"/>
      <c r="F259" s="937"/>
      <c r="G259" s="937"/>
    </row>
    <row r="260" spans="1:14" ht="15.75" thickBot="1" x14ac:dyDescent="0.3">
      <c r="A260" s="356" t="s">
        <v>651</v>
      </c>
    </row>
    <row r="261" spans="1:14" ht="16.5" thickBot="1" x14ac:dyDescent="0.3">
      <c r="A261" s="922" t="s">
        <v>30</v>
      </c>
      <c r="B261" s="922" t="s">
        <v>16</v>
      </c>
      <c r="C261" s="925" t="s">
        <v>629</v>
      </c>
      <c r="D261" s="926"/>
      <c r="E261" s="927"/>
      <c r="F261" s="925" t="s">
        <v>618</v>
      </c>
      <c r="G261" s="926"/>
      <c r="H261" s="927"/>
      <c r="I261" s="925" t="s">
        <v>619</v>
      </c>
      <c r="J261" s="926"/>
      <c r="K261" s="927"/>
      <c r="L261" s="925" t="s">
        <v>540</v>
      </c>
      <c r="M261" s="926"/>
      <c r="N261" s="927"/>
    </row>
    <row r="262" spans="1:14" ht="16.5" thickBot="1" x14ac:dyDescent="0.3">
      <c r="A262" s="923"/>
      <c r="B262" s="923"/>
      <c r="C262" s="278" t="s">
        <v>548</v>
      </c>
      <c r="D262" s="278" t="s">
        <v>549</v>
      </c>
      <c r="E262" s="278" t="s">
        <v>550</v>
      </c>
      <c r="F262" s="278" t="s">
        <v>548</v>
      </c>
      <c r="G262" s="278" t="s">
        <v>549</v>
      </c>
      <c r="H262" s="278" t="s">
        <v>550</v>
      </c>
      <c r="I262" s="278" t="s">
        <v>548</v>
      </c>
      <c r="J262" s="278" t="s">
        <v>549</v>
      </c>
      <c r="K262" s="278" t="s">
        <v>550</v>
      </c>
      <c r="L262" s="278" t="s">
        <v>548</v>
      </c>
      <c r="M262" s="278" t="s">
        <v>549</v>
      </c>
      <c r="N262" s="278" t="s">
        <v>550</v>
      </c>
    </row>
    <row r="263" spans="1:14" s="286" customFormat="1" ht="34.5" thickBot="1" x14ac:dyDescent="0.25">
      <c r="A263" s="924"/>
      <c r="B263" s="924"/>
      <c r="C263" s="289" t="s">
        <v>512</v>
      </c>
      <c r="D263" s="289" t="s">
        <v>513</v>
      </c>
      <c r="E263" s="289" t="s">
        <v>514</v>
      </c>
      <c r="F263" s="289" t="s">
        <v>512</v>
      </c>
      <c r="G263" s="289" t="s">
        <v>513</v>
      </c>
      <c r="H263" s="289" t="s">
        <v>514</v>
      </c>
      <c r="I263" s="289" t="s">
        <v>512</v>
      </c>
      <c r="J263" s="289" t="s">
        <v>513</v>
      </c>
      <c r="K263" s="289" t="s">
        <v>514</v>
      </c>
      <c r="L263" s="289" t="s">
        <v>512</v>
      </c>
      <c r="M263" s="289" t="s">
        <v>513</v>
      </c>
      <c r="N263" s="289" t="s">
        <v>514</v>
      </c>
    </row>
    <row r="264" spans="1:14" ht="15.75" x14ac:dyDescent="0.25">
      <c r="A264" s="339">
        <v>1</v>
      </c>
      <c r="B264" s="264">
        <v>2</v>
      </c>
      <c r="C264" s="264">
        <v>3</v>
      </c>
      <c r="D264" s="264">
        <v>4</v>
      </c>
      <c r="E264" s="264">
        <v>5</v>
      </c>
      <c r="F264" s="264">
        <v>6</v>
      </c>
      <c r="G264" s="264">
        <v>7</v>
      </c>
      <c r="H264" s="264">
        <v>8</v>
      </c>
      <c r="I264" s="264">
        <v>9</v>
      </c>
      <c r="J264" s="264">
        <v>10</v>
      </c>
      <c r="K264" s="264">
        <v>11</v>
      </c>
      <c r="L264" s="264">
        <v>12</v>
      </c>
      <c r="M264" s="264">
        <v>13</v>
      </c>
      <c r="N264" s="264">
        <v>14</v>
      </c>
    </row>
    <row r="265" spans="1:14" s="208" customFormat="1" ht="15.75" x14ac:dyDescent="0.25">
      <c r="A265" s="233" t="s">
        <v>62</v>
      </c>
      <c r="B265" s="254">
        <v>1</v>
      </c>
      <c r="C265" s="337">
        <v>365.2</v>
      </c>
      <c r="D265" s="337">
        <v>365.2</v>
      </c>
      <c r="E265" s="337">
        <v>365.2</v>
      </c>
      <c r="F265" s="235">
        <v>12</v>
      </c>
      <c r="G265" s="235">
        <v>12</v>
      </c>
      <c r="H265" s="235">
        <v>12</v>
      </c>
      <c r="I265" s="98">
        <v>4.5999999999999996</v>
      </c>
      <c r="J265" s="98">
        <v>4.5999999999999996</v>
      </c>
      <c r="K265" s="98">
        <v>4.5999999999999996</v>
      </c>
      <c r="L265" s="254">
        <f>C265*F265*I265</f>
        <v>20159.039999999997</v>
      </c>
      <c r="M265" s="254">
        <f>D265*G265*J265</f>
        <v>20159.039999999997</v>
      </c>
      <c r="N265" s="254">
        <f>E265*H265*K265</f>
        <v>20159.039999999997</v>
      </c>
    </row>
    <row r="266" spans="1:14" s="208" customFormat="1" ht="31.5" x14ac:dyDescent="0.25">
      <c r="A266" s="233" t="s">
        <v>63</v>
      </c>
      <c r="B266" s="254">
        <v>2</v>
      </c>
      <c r="C266" s="338">
        <v>41.666666659999997</v>
      </c>
      <c r="D266" s="338">
        <v>41.666666659999997</v>
      </c>
      <c r="E266" s="338">
        <v>41.666666659999997</v>
      </c>
      <c r="F266" s="235">
        <v>12</v>
      </c>
      <c r="G266" s="235">
        <v>12</v>
      </c>
      <c r="H266" s="235">
        <v>12</v>
      </c>
      <c r="I266" s="98">
        <v>15</v>
      </c>
      <c r="J266" s="98">
        <v>15</v>
      </c>
      <c r="K266" s="98">
        <v>15</v>
      </c>
      <c r="L266" s="340">
        <f t="shared" ref="L266:L270" si="16">C266*F266*I266</f>
        <v>7499.999998799999</v>
      </c>
      <c r="M266" s="254">
        <f t="shared" ref="M266:M270" si="17">D266*G266*J266</f>
        <v>7499.999998799999</v>
      </c>
      <c r="N266" s="254">
        <f t="shared" ref="N266:N270" si="18">E266*H266*K266</f>
        <v>7499.999998799999</v>
      </c>
    </row>
    <row r="267" spans="1:14" s="208" customFormat="1" ht="31.5" x14ac:dyDescent="0.25">
      <c r="A267" s="233" t="s">
        <v>64</v>
      </c>
      <c r="B267" s="254">
        <v>3</v>
      </c>
      <c r="C267" s="234">
        <v>1</v>
      </c>
      <c r="D267" s="234">
        <v>1</v>
      </c>
      <c r="E267" s="234">
        <v>1</v>
      </c>
      <c r="F267" s="235">
        <v>12</v>
      </c>
      <c r="G267" s="235">
        <v>12</v>
      </c>
      <c r="H267" s="235">
        <v>12</v>
      </c>
      <c r="I267" s="221">
        <v>3000</v>
      </c>
      <c r="J267" s="221">
        <v>3000</v>
      </c>
      <c r="K267" s="221">
        <v>3000</v>
      </c>
      <c r="L267" s="254">
        <f t="shared" si="16"/>
        <v>36000</v>
      </c>
      <c r="M267" s="254">
        <f t="shared" si="17"/>
        <v>36000</v>
      </c>
      <c r="N267" s="254">
        <f t="shared" si="18"/>
        <v>36000</v>
      </c>
    </row>
    <row r="268" spans="1:14" ht="31.5" x14ac:dyDescent="0.25">
      <c r="A268" s="233" t="s">
        <v>65</v>
      </c>
      <c r="B268" s="254">
        <v>4</v>
      </c>
      <c r="C268" s="234">
        <v>1</v>
      </c>
      <c r="D268" s="234">
        <v>1</v>
      </c>
      <c r="E268" s="234">
        <v>1</v>
      </c>
      <c r="F268" s="235">
        <v>12</v>
      </c>
      <c r="G268" s="235">
        <v>12</v>
      </c>
      <c r="H268" s="235">
        <v>12</v>
      </c>
      <c r="I268" s="221">
        <v>6500</v>
      </c>
      <c r="J268" s="221">
        <v>6500</v>
      </c>
      <c r="K268" s="221">
        <v>6500</v>
      </c>
      <c r="L268" s="254">
        <f t="shared" si="16"/>
        <v>78000</v>
      </c>
      <c r="M268" s="254">
        <f t="shared" si="17"/>
        <v>78000</v>
      </c>
      <c r="N268" s="254">
        <f t="shared" si="18"/>
        <v>78000</v>
      </c>
    </row>
    <row r="269" spans="1:14" ht="15.75" x14ac:dyDescent="0.25">
      <c r="A269" s="233" t="s">
        <v>428</v>
      </c>
      <c r="B269" s="254">
        <v>5</v>
      </c>
      <c r="C269" s="234">
        <v>30</v>
      </c>
      <c r="D269" s="234">
        <v>30</v>
      </c>
      <c r="E269" s="234">
        <v>30</v>
      </c>
      <c r="F269" s="235">
        <v>1</v>
      </c>
      <c r="G269" s="235">
        <v>1</v>
      </c>
      <c r="H269" s="235">
        <v>1</v>
      </c>
      <c r="I269" s="221">
        <v>30</v>
      </c>
      <c r="J269" s="221">
        <v>30</v>
      </c>
      <c r="K269" s="221">
        <v>30</v>
      </c>
      <c r="L269" s="254">
        <f>C269*I269</f>
        <v>900</v>
      </c>
      <c r="M269" s="254">
        <f t="shared" si="17"/>
        <v>900</v>
      </c>
      <c r="N269" s="254">
        <f t="shared" si="18"/>
        <v>900</v>
      </c>
    </row>
    <row r="270" spans="1:14" ht="31.5" x14ac:dyDescent="0.25">
      <c r="A270" s="233" t="s">
        <v>421</v>
      </c>
      <c r="B270" s="253">
        <v>6</v>
      </c>
      <c r="C270" s="234">
        <v>1</v>
      </c>
      <c r="D270" s="234">
        <v>1</v>
      </c>
      <c r="E270" s="234">
        <v>1</v>
      </c>
      <c r="F270" s="235">
        <v>10</v>
      </c>
      <c r="G270" s="235">
        <v>10</v>
      </c>
      <c r="H270" s="235">
        <v>10</v>
      </c>
      <c r="I270" s="221">
        <v>210</v>
      </c>
      <c r="J270" s="221">
        <v>210</v>
      </c>
      <c r="K270" s="221">
        <v>210</v>
      </c>
      <c r="L270" s="254">
        <f t="shared" si="16"/>
        <v>2100</v>
      </c>
      <c r="M270" s="254">
        <f t="shared" si="17"/>
        <v>2100</v>
      </c>
      <c r="N270" s="254">
        <f t="shared" si="18"/>
        <v>2100</v>
      </c>
    </row>
    <row r="271" spans="1:14" ht="16.5" thickBot="1" x14ac:dyDescent="0.3">
      <c r="A271" s="262" t="s">
        <v>407</v>
      </c>
      <c r="B271" s="178">
        <v>9000</v>
      </c>
      <c r="C271" s="178" t="s">
        <v>454</v>
      </c>
      <c r="D271" s="178" t="s">
        <v>454</v>
      </c>
      <c r="E271" s="178" t="s">
        <v>454</v>
      </c>
      <c r="F271" s="178" t="s">
        <v>454</v>
      </c>
      <c r="G271" s="178" t="s">
        <v>454</v>
      </c>
      <c r="H271" s="178" t="s">
        <v>454</v>
      </c>
      <c r="I271" s="178" t="s">
        <v>454</v>
      </c>
      <c r="J271" s="178" t="s">
        <v>454</v>
      </c>
      <c r="K271" s="178" t="s">
        <v>454</v>
      </c>
      <c r="L271" s="179">
        <f>SUM(L265:L270)</f>
        <v>144659.0399988</v>
      </c>
      <c r="M271" s="179">
        <f t="shared" ref="M271:N271" si="19">SUM(M265:M270)</f>
        <v>144659.0399988</v>
      </c>
      <c r="N271" s="179">
        <f t="shared" si="19"/>
        <v>144659.0399988</v>
      </c>
    </row>
    <row r="272" spans="1:14" ht="16.5" customHeight="1" x14ac:dyDescent="0.25"/>
    <row r="273" spans="1:11" hidden="1" x14ac:dyDescent="0.25">
      <c r="A273" s="937" t="s">
        <v>620</v>
      </c>
      <c r="B273" s="937"/>
      <c r="C273" s="937"/>
      <c r="D273" s="937"/>
      <c r="E273" s="937"/>
      <c r="F273" s="937"/>
      <c r="G273" s="937"/>
    </row>
    <row r="274" spans="1:11" ht="16.5" hidden="1" thickBot="1" x14ac:dyDescent="0.3">
      <c r="A274" s="922" t="s">
        <v>30</v>
      </c>
      <c r="B274" s="922" t="s">
        <v>16</v>
      </c>
      <c r="C274" s="925" t="s">
        <v>66</v>
      </c>
      <c r="D274" s="926"/>
      <c r="E274" s="927"/>
      <c r="F274" s="925" t="s">
        <v>621</v>
      </c>
      <c r="G274" s="926"/>
      <c r="H274" s="927"/>
      <c r="I274" s="925" t="s">
        <v>540</v>
      </c>
      <c r="J274" s="926"/>
      <c r="K274" s="927"/>
    </row>
    <row r="275" spans="1:11" ht="16.5" hidden="1" thickBot="1" x14ac:dyDescent="0.3">
      <c r="A275" s="923"/>
      <c r="B275" s="923"/>
      <c r="C275" s="278" t="s">
        <v>548</v>
      </c>
      <c r="D275" s="278" t="s">
        <v>549</v>
      </c>
      <c r="E275" s="278" t="s">
        <v>550</v>
      </c>
      <c r="F275" s="278" t="s">
        <v>548</v>
      </c>
      <c r="G275" s="278" t="s">
        <v>549</v>
      </c>
      <c r="H275" s="278" t="s">
        <v>550</v>
      </c>
      <c r="I275" s="278" t="s">
        <v>548</v>
      </c>
      <c r="J275" s="278" t="s">
        <v>549</v>
      </c>
      <c r="K275" s="278" t="s">
        <v>550</v>
      </c>
    </row>
    <row r="276" spans="1:11" ht="34.5" hidden="1" thickBot="1" x14ac:dyDescent="0.3">
      <c r="A276" s="924"/>
      <c r="B276" s="924"/>
      <c r="C276" s="289" t="s">
        <v>512</v>
      </c>
      <c r="D276" s="289" t="s">
        <v>513</v>
      </c>
      <c r="E276" s="289" t="s">
        <v>514</v>
      </c>
      <c r="F276" s="289" t="s">
        <v>512</v>
      </c>
      <c r="G276" s="289" t="s">
        <v>513</v>
      </c>
      <c r="H276" s="289" t="s">
        <v>514</v>
      </c>
      <c r="I276" s="289" t="s">
        <v>512</v>
      </c>
      <c r="J276" s="289" t="s">
        <v>513</v>
      </c>
      <c r="K276" s="289" t="s">
        <v>514</v>
      </c>
    </row>
    <row r="277" spans="1:11" ht="16.5" hidden="1" thickBot="1" x14ac:dyDescent="0.3">
      <c r="A277" s="238">
        <v>1</v>
      </c>
      <c r="B277" s="178">
        <v>2</v>
      </c>
      <c r="C277" s="178">
        <v>3</v>
      </c>
      <c r="D277" s="178">
        <v>4</v>
      </c>
      <c r="E277" s="178">
        <v>5</v>
      </c>
      <c r="F277" s="178">
        <v>6</v>
      </c>
      <c r="G277" s="178">
        <v>7</v>
      </c>
      <c r="H277" s="178">
        <v>8</v>
      </c>
      <c r="I277" s="178">
        <v>9</v>
      </c>
      <c r="J277" s="178">
        <v>10</v>
      </c>
      <c r="K277" s="178">
        <v>11</v>
      </c>
    </row>
    <row r="278" spans="1:11" ht="16.5" hidden="1" thickBot="1" x14ac:dyDescent="0.3">
      <c r="A278" s="262"/>
      <c r="B278" s="178">
        <v>1</v>
      </c>
      <c r="C278" s="179"/>
      <c r="D278" s="179"/>
      <c r="E278" s="179"/>
      <c r="F278" s="179"/>
      <c r="G278" s="179"/>
      <c r="H278" s="179"/>
      <c r="I278" s="179"/>
      <c r="J278" s="179"/>
      <c r="K278" s="179"/>
    </row>
    <row r="279" spans="1:11" ht="16.5" hidden="1" thickBot="1" x14ac:dyDescent="0.3">
      <c r="A279" s="262"/>
      <c r="B279" s="178">
        <v>2</v>
      </c>
      <c r="C279" s="179"/>
      <c r="D279" s="179"/>
      <c r="E279" s="179"/>
      <c r="F279" s="179"/>
      <c r="G279" s="179"/>
      <c r="H279" s="179"/>
      <c r="I279" s="179"/>
      <c r="J279" s="179"/>
      <c r="K279" s="179"/>
    </row>
    <row r="280" spans="1:11" ht="16.5" hidden="1" thickBot="1" x14ac:dyDescent="0.3">
      <c r="A280" s="262"/>
      <c r="B280" s="179"/>
      <c r="C280" s="179"/>
      <c r="D280" s="179"/>
      <c r="E280" s="179"/>
      <c r="F280" s="179"/>
      <c r="G280" s="179"/>
      <c r="H280" s="179"/>
      <c r="I280" s="179"/>
      <c r="J280" s="179"/>
      <c r="K280" s="179"/>
    </row>
    <row r="281" spans="1:11" ht="16.5" hidden="1" thickBot="1" x14ac:dyDescent="0.3">
      <c r="A281" s="262" t="s">
        <v>407</v>
      </c>
      <c r="B281" s="178">
        <v>9000</v>
      </c>
      <c r="C281" s="178" t="s">
        <v>454</v>
      </c>
      <c r="D281" s="178" t="s">
        <v>454</v>
      </c>
      <c r="E281" s="178" t="s">
        <v>454</v>
      </c>
      <c r="F281" s="178" t="s">
        <v>454</v>
      </c>
      <c r="G281" s="178" t="s">
        <v>454</v>
      </c>
      <c r="H281" s="178" t="s">
        <v>454</v>
      </c>
      <c r="I281" s="179"/>
      <c r="J281" s="179"/>
      <c r="K281" s="179"/>
    </row>
    <row r="283" spans="1:11" x14ac:dyDescent="0.25">
      <c r="A283" s="937" t="s">
        <v>622</v>
      </c>
      <c r="B283" s="937"/>
      <c r="C283" s="937"/>
      <c r="D283" s="937"/>
      <c r="E283" s="937"/>
      <c r="F283" s="937"/>
      <c r="G283" s="937"/>
    </row>
    <row r="284" spans="1:11" s="208" customFormat="1" ht="15.75" thickBot="1" x14ac:dyDescent="0.3">
      <c r="A284" s="356" t="s">
        <v>650</v>
      </c>
      <c r="B284" s="271"/>
      <c r="C284" s="271"/>
      <c r="D284" s="271"/>
      <c r="E284" s="271"/>
      <c r="F284" s="271"/>
      <c r="G284" s="271"/>
    </row>
    <row r="285" spans="1:11" ht="16.5" customHeight="1" thickBot="1" x14ac:dyDescent="0.3">
      <c r="A285" s="922" t="s">
        <v>30</v>
      </c>
      <c r="B285" s="922" t="s">
        <v>16</v>
      </c>
      <c r="C285" s="925" t="s">
        <v>623</v>
      </c>
      <c r="D285" s="926"/>
      <c r="E285" s="927"/>
      <c r="F285" s="925" t="s">
        <v>624</v>
      </c>
      <c r="G285" s="926"/>
      <c r="H285" s="927"/>
      <c r="I285" s="925" t="s">
        <v>540</v>
      </c>
      <c r="J285" s="926"/>
      <c r="K285" s="927"/>
    </row>
    <row r="286" spans="1:11" ht="16.5" thickBot="1" x14ac:dyDescent="0.3">
      <c r="A286" s="923"/>
      <c r="B286" s="923"/>
      <c r="C286" s="278" t="s">
        <v>548</v>
      </c>
      <c r="D286" s="278" t="s">
        <v>549</v>
      </c>
      <c r="E286" s="278" t="s">
        <v>550</v>
      </c>
      <c r="F286" s="278" t="s">
        <v>548</v>
      </c>
      <c r="G286" s="278" t="s">
        <v>549</v>
      </c>
      <c r="H286" s="278" t="s">
        <v>550</v>
      </c>
      <c r="I286" s="278" t="s">
        <v>548</v>
      </c>
      <c r="J286" s="278" t="s">
        <v>549</v>
      </c>
      <c r="K286" s="278" t="s">
        <v>550</v>
      </c>
    </row>
    <row r="287" spans="1:11" ht="34.5" thickBot="1" x14ac:dyDescent="0.3">
      <c r="A287" s="924"/>
      <c r="B287" s="924"/>
      <c r="C287" s="289" t="s">
        <v>512</v>
      </c>
      <c r="D287" s="289" t="s">
        <v>513</v>
      </c>
      <c r="E287" s="289" t="s">
        <v>514</v>
      </c>
      <c r="F287" s="289" t="s">
        <v>512</v>
      </c>
      <c r="G287" s="289" t="s">
        <v>513</v>
      </c>
      <c r="H287" s="289" t="s">
        <v>514</v>
      </c>
      <c r="I287" s="289" t="s">
        <v>512</v>
      </c>
      <c r="J287" s="289" t="s">
        <v>513</v>
      </c>
      <c r="K287" s="289" t="s">
        <v>514</v>
      </c>
    </row>
    <row r="288" spans="1:11" ht="16.5" thickBot="1" x14ac:dyDescent="0.3">
      <c r="A288" s="346">
        <v>1</v>
      </c>
      <c r="B288" s="288">
        <v>2</v>
      </c>
      <c r="C288" s="288">
        <v>3</v>
      </c>
      <c r="D288" s="288">
        <v>4</v>
      </c>
      <c r="E288" s="288">
        <v>5</v>
      </c>
      <c r="F288" s="288">
        <v>6</v>
      </c>
      <c r="G288" s="288">
        <v>7</v>
      </c>
      <c r="H288" s="288">
        <v>8</v>
      </c>
      <c r="I288" s="288">
        <v>9</v>
      </c>
      <c r="J288" s="288">
        <v>10</v>
      </c>
      <c r="K288" s="288">
        <v>11</v>
      </c>
    </row>
    <row r="289" spans="1:14" ht="15.75" x14ac:dyDescent="0.25">
      <c r="A289" s="343" t="s">
        <v>70</v>
      </c>
      <c r="B289" s="344">
        <v>1</v>
      </c>
      <c r="C289" s="345">
        <v>650</v>
      </c>
      <c r="D289" s="345">
        <v>650</v>
      </c>
      <c r="E289" s="345">
        <v>650</v>
      </c>
      <c r="F289" s="222">
        <v>3124.2129</v>
      </c>
      <c r="G289" s="222">
        <v>3124.2129</v>
      </c>
      <c r="H289" s="222">
        <v>3124.2129</v>
      </c>
      <c r="I289" s="351">
        <f t="shared" ref="I289:K293" si="20">C289*F289</f>
        <v>2030738.385</v>
      </c>
      <c r="J289" s="351">
        <f t="shared" si="20"/>
        <v>2030738.385</v>
      </c>
      <c r="K289" s="351">
        <f t="shared" si="20"/>
        <v>2030738.385</v>
      </c>
    </row>
    <row r="290" spans="1:14" s="208" customFormat="1" ht="15.75" x14ac:dyDescent="0.25">
      <c r="A290" s="253" t="s">
        <v>146</v>
      </c>
      <c r="B290" s="254">
        <v>2</v>
      </c>
      <c r="C290" s="235">
        <v>3600</v>
      </c>
      <c r="D290" s="235">
        <v>3600</v>
      </c>
      <c r="E290" s="235">
        <v>3600</v>
      </c>
      <c r="F290" s="98">
        <v>55.92</v>
      </c>
      <c r="G290" s="98">
        <v>55.92</v>
      </c>
      <c r="H290" s="98">
        <v>55.92</v>
      </c>
      <c r="I290" s="352">
        <f t="shared" si="20"/>
        <v>201312</v>
      </c>
      <c r="J290" s="352">
        <f t="shared" si="20"/>
        <v>201312</v>
      </c>
      <c r="K290" s="352">
        <f t="shared" si="20"/>
        <v>201312</v>
      </c>
    </row>
    <row r="291" spans="1:14" s="208" customFormat="1" ht="15.75" x14ac:dyDescent="0.25">
      <c r="A291" s="253" t="s">
        <v>147</v>
      </c>
      <c r="B291" s="254">
        <v>3</v>
      </c>
      <c r="C291" s="235">
        <v>3600</v>
      </c>
      <c r="D291" s="235">
        <v>3600</v>
      </c>
      <c r="E291" s="235">
        <v>3600</v>
      </c>
      <c r="F291" s="98">
        <v>53.328000000000003</v>
      </c>
      <c r="G291" s="98">
        <v>53.328000000000003</v>
      </c>
      <c r="H291" s="98">
        <v>53.328000000000003</v>
      </c>
      <c r="I291" s="352">
        <f t="shared" si="20"/>
        <v>191980.80000000002</v>
      </c>
      <c r="J291" s="352">
        <f t="shared" si="20"/>
        <v>191980.80000000002</v>
      </c>
      <c r="K291" s="352">
        <f t="shared" si="20"/>
        <v>191980.80000000002</v>
      </c>
    </row>
    <row r="292" spans="1:14" ht="15.75" x14ac:dyDescent="0.25">
      <c r="A292" s="253" t="s">
        <v>71</v>
      </c>
      <c r="B292" s="254">
        <v>4</v>
      </c>
      <c r="C292" s="235">
        <v>155</v>
      </c>
      <c r="D292" s="235">
        <v>155</v>
      </c>
      <c r="E292" s="235">
        <v>155</v>
      </c>
      <c r="F292" s="98">
        <v>4942</v>
      </c>
      <c r="G292" s="98">
        <v>4942</v>
      </c>
      <c r="H292" s="98">
        <v>4942</v>
      </c>
      <c r="I292" s="352">
        <f t="shared" si="20"/>
        <v>766010</v>
      </c>
      <c r="J292" s="352">
        <f t="shared" si="20"/>
        <v>766010</v>
      </c>
      <c r="K292" s="352">
        <f t="shared" si="20"/>
        <v>766010</v>
      </c>
    </row>
    <row r="293" spans="1:14" ht="16.5" thickBot="1" x14ac:dyDescent="0.3">
      <c r="A293" s="347" t="s">
        <v>431</v>
      </c>
      <c r="B293" s="348">
        <v>5</v>
      </c>
      <c r="C293" s="224">
        <v>12</v>
      </c>
      <c r="D293" s="224">
        <v>12</v>
      </c>
      <c r="E293" s="224">
        <v>12</v>
      </c>
      <c r="F293" s="298">
        <v>2170.58</v>
      </c>
      <c r="G293" s="298">
        <v>2170.58</v>
      </c>
      <c r="H293" s="298">
        <v>2170.58</v>
      </c>
      <c r="I293" s="353">
        <f t="shared" si="20"/>
        <v>26046.959999999999</v>
      </c>
      <c r="J293" s="353">
        <f t="shared" si="20"/>
        <v>26046.959999999999</v>
      </c>
      <c r="K293" s="353">
        <f t="shared" si="20"/>
        <v>26046.959999999999</v>
      </c>
    </row>
    <row r="294" spans="1:14" ht="16.5" thickBot="1" x14ac:dyDescent="0.3">
      <c r="A294" s="349" t="s">
        <v>407</v>
      </c>
      <c r="B294" s="288">
        <v>9000</v>
      </c>
      <c r="C294" s="288" t="s">
        <v>454</v>
      </c>
      <c r="D294" s="288" t="s">
        <v>454</v>
      </c>
      <c r="E294" s="288" t="s">
        <v>454</v>
      </c>
      <c r="F294" s="288" t="s">
        <v>454</v>
      </c>
      <c r="G294" s="288" t="s">
        <v>454</v>
      </c>
      <c r="H294" s="288" t="s">
        <v>454</v>
      </c>
      <c r="I294" s="350">
        <f>SUM(I289:I293)</f>
        <v>3216088.1449999996</v>
      </c>
      <c r="J294" s="350">
        <f t="shared" ref="J294:K294" si="21">SUM(J289:J293)</f>
        <v>3216088.1449999996</v>
      </c>
      <c r="K294" s="350">
        <f t="shared" si="21"/>
        <v>3216088.1449999996</v>
      </c>
    </row>
    <row r="296" spans="1:14" x14ac:dyDescent="0.25">
      <c r="A296" s="921" t="s">
        <v>625</v>
      </c>
      <c r="B296" s="937"/>
      <c r="C296" s="937"/>
      <c r="D296" s="937"/>
      <c r="E296" s="937"/>
      <c r="F296" s="937"/>
      <c r="G296" s="937"/>
      <c r="H296" s="937"/>
    </row>
    <row r="297" spans="1:14" s="208" customFormat="1" ht="15.75" thickBot="1" x14ac:dyDescent="0.3">
      <c r="A297" s="356" t="s">
        <v>649</v>
      </c>
      <c r="B297" s="271"/>
      <c r="C297" s="271"/>
      <c r="D297" s="271"/>
      <c r="E297" s="271"/>
      <c r="F297" s="271"/>
      <c r="G297" s="271"/>
      <c r="H297" s="271"/>
    </row>
    <row r="298" spans="1:14" ht="16.5" thickBot="1" x14ac:dyDescent="0.3">
      <c r="A298" s="922" t="s">
        <v>30</v>
      </c>
      <c r="B298" s="922" t="s">
        <v>16</v>
      </c>
      <c r="C298" s="925" t="s">
        <v>72</v>
      </c>
      <c r="D298" s="926"/>
      <c r="E298" s="927"/>
      <c r="F298" s="925" t="s">
        <v>73</v>
      </c>
      <c r="G298" s="926"/>
      <c r="H298" s="927"/>
      <c r="I298" s="925" t="s">
        <v>619</v>
      </c>
      <c r="J298" s="926"/>
      <c r="K298" s="927"/>
      <c r="L298" s="925" t="s">
        <v>540</v>
      </c>
      <c r="M298" s="926"/>
      <c r="N298" s="927"/>
    </row>
    <row r="299" spans="1:14" ht="16.5" thickBot="1" x14ac:dyDescent="0.3">
      <c r="A299" s="923"/>
      <c r="B299" s="923"/>
      <c r="C299" s="278" t="s">
        <v>548</v>
      </c>
      <c r="D299" s="278" t="s">
        <v>549</v>
      </c>
      <c r="E299" s="278" t="s">
        <v>550</v>
      </c>
      <c r="F299" s="278" t="s">
        <v>548</v>
      </c>
      <c r="G299" s="278" t="s">
        <v>549</v>
      </c>
      <c r="H299" s="278" t="s">
        <v>550</v>
      </c>
      <c r="I299" s="278" t="s">
        <v>548</v>
      </c>
      <c r="J299" s="278" t="s">
        <v>549</v>
      </c>
      <c r="K299" s="278" t="s">
        <v>550</v>
      </c>
      <c r="L299" s="278" t="s">
        <v>548</v>
      </c>
      <c r="M299" s="278" t="s">
        <v>549</v>
      </c>
      <c r="N299" s="278" t="s">
        <v>550</v>
      </c>
    </row>
    <row r="300" spans="1:14" ht="34.5" thickBot="1" x14ac:dyDescent="0.3">
      <c r="A300" s="924"/>
      <c r="B300" s="924"/>
      <c r="C300" s="289" t="s">
        <v>512</v>
      </c>
      <c r="D300" s="289" t="s">
        <v>513</v>
      </c>
      <c r="E300" s="289" t="s">
        <v>514</v>
      </c>
      <c r="F300" s="289" t="s">
        <v>512</v>
      </c>
      <c r="G300" s="289" t="s">
        <v>513</v>
      </c>
      <c r="H300" s="289" t="s">
        <v>514</v>
      </c>
      <c r="I300" s="289" t="s">
        <v>512</v>
      </c>
      <c r="J300" s="289" t="s">
        <v>513</v>
      </c>
      <c r="K300" s="289" t="s">
        <v>514</v>
      </c>
      <c r="L300" s="289" t="s">
        <v>512</v>
      </c>
      <c r="M300" s="289" t="s">
        <v>513</v>
      </c>
      <c r="N300" s="289" t="s">
        <v>514</v>
      </c>
    </row>
    <row r="301" spans="1:14" ht="15.75" x14ac:dyDescent="0.25">
      <c r="A301" s="339">
        <v>1</v>
      </c>
      <c r="B301" s="264">
        <v>2</v>
      </c>
      <c r="C301" s="264">
        <v>3</v>
      </c>
      <c r="D301" s="264">
        <v>4</v>
      </c>
      <c r="E301" s="264">
        <v>5</v>
      </c>
      <c r="F301" s="264">
        <v>6</v>
      </c>
      <c r="G301" s="264">
        <v>7</v>
      </c>
      <c r="H301" s="264">
        <v>8</v>
      </c>
      <c r="I301" s="264">
        <v>9</v>
      </c>
      <c r="J301" s="264">
        <v>10</v>
      </c>
      <c r="K301" s="264">
        <v>11</v>
      </c>
      <c r="L301" s="264">
        <v>9</v>
      </c>
      <c r="M301" s="264">
        <v>10</v>
      </c>
      <c r="N301" s="264">
        <v>11</v>
      </c>
    </row>
    <row r="302" spans="1:14" s="208" customFormat="1" ht="94.5" x14ac:dyDescent="0.25">
      <c r="A302" s="254" t="s">
        <v>393</v>
      </c>
      <c r="B302" s="254">
        <v>1</v>
      </c>
      <c r="C302" s="254" t="s">
        <v>630</v>
      </c>
      <c r="D302" s="254" t="s">
        <v>630</v>
      </c>
      <c r="E302" s="254" t="s">
        <v>630</v>
      </c>
      <c r="F302" s="256">
        <v>12</v>
      </c>
      <c r="G302" s="256">
        <v>12</v>
      </c>
      <c r="H302" s="256">
        <v>12</v>
      </c>
      <c r="I302" s="98"/>
      <c r="J302" s="98"/>
      <c r="K302" s="98"/>
      <c r="L302" s="342">
        <f>F302*I302</f>
        <v>0</v>
      </c>
      <c r="M302" s="342">
        <f>G302*J302</f>
        <v>0</v>
      </c>
      <c r="N302" s="342">
        <f>H302*K302</f>
        <v>0</v>
      </c>
    </row>
    <row r="303" spans="1:14" s="208" customFormat="1" ht="31.5" x14ac:dyDescent="0.25">
      <c r="A303" s="254" t="s">
        <v>148</v>
      </c>
      <c r="B303" s="254">
        <v>2</v>
      </c>
      <c r="C303" s="254" t="s">
        <v>631</v>
      </c>
      <c r="D303" s="254" t="s">
        <v>631</v>
      </c>
      <c r="E303" s="254" t="s">
        <v>631</v>
      </c>
      <c r="F303" s="256">
        <v>10</v>
      </c>
      <c r="G303" s="256">
        <v>10</v>
      </c>
      <c r="H303" s="256">
        <v>10</v>
      </c>
      <c r="I303" s="98"/>
      <c r="J303" s="98"/>
      <c r="K303" s="98"/>
      <c r="L303" s="342">
        <f t="shared" ref="L303:L306" si="22">F303*I303</f>
        <v>0</v>
      </c>
      <c r="M303" s="342">
        <f t="shared" ref="M303:M306" si="23">G303*J303</f>
        <v>0</v>
      </c>
      <c r="N303" s="342">
        <f t="shared" ref="N303:N306" si="24">H303*K303</f>
        <v>0</v>
      </c>
    </row>
    <row r="304" spans="1:14" s="208" customFormat="1" ht="47.25" x14ac:dyDescent="0.25">
      <c r="A304" s="254" t="s">
        <v>394</v>
      </c>
      <c r="B304" s="254">
        <v>3</v>
      </c>
      <c r="C304" s="254" t="s">
        <v>630</v>
      </c>
      <c r="D304" s="254" t="s">
        <v>630</v>
      </c>
      <c r="E304" s="254" t="s">
        <v>630</v>
      </c>
      <c r="F304" s="256">
        <v>1</v>
      </c>
      <c r="G304" s="256">
        <v>1</v>
      </c>
      <c r="H304" s="256">
        <v>1</v>
      </c>
      <c r="I304" s="98"/>
      <c r="J304" s="98"/>
      <c r="K304" s="98"/>
      <c r="L304" s="342">
        <f t="shared" si="22"/>
        <v>0</v>
      </c>
      <c r="M304" s="342">
        <f t="shared" si="23"/>
        <v>0</v>
      </c>
      <c r="N304" s="342">
        <f t="shared" si="24"/>
        <v>0</v>
      </c>
    </row>
    <row r="305" spans="1:14" s="208" customFormat="1" ht="47.25" x14ac:dyDescent="0.25">
      <c r="A305" s="254" t="s">
        <v>435</v>
      </c>
      <c r="B305" s="254">
        <v>4</v>
      </c>
      <c r="C305" s="254" t="s">
        <v>630</v>
      </c>
      <c r="D305" s="254" t="s">
        <v>630</v>
      </c>
      <c r="E305" s="254" t="s">
        <v>630</v>
      </c>
      <c r="F305" s="256">
        <v>1</v>
      </c>
      <c r="G305" s="256">
        <v>1</v>
      </c>
      <c r="H305" s="256">
        <v>1</v>
      </c>
      <c r="I305" s="98"/>
      <c r="J305" s="98"/>
      <c r="K305" s="98"/>
      <c r="L305" s="342">
        <f t="shared" si="22"/>
        <v>0</v>
      </c>
      <c r="M305" s="342">
        <f t="shared" si="23"/>
        <v>0</v>
      </c>
      <c r="N305" s="342">
        <f t="shared" si="24"/>
        <v>0</v>
      </c>
    </row>
    <row r="306" spans="1:14" s="208" customFormat="1" ht="31.5" x14ac:dyDescent="0.25">
      <c r="A306" s="254" t="s">
        <v>433</v>
      </c>
      <c r="B306" s="254">
        <v>5</v>
      </c>
      <c r="C306" s="254" t="s">
        <v>632</v>
      </c>
      <c r="D306" s="254" t="s">
        <v>632</v>
      </c>
      <c r="E306" s="254" t="s">
        <v>632</v>
      </c>
      <c r="F306" s="256">
        <v>1</v>
      </c>
      <c r="G306" s="256">
        <v>1</v>
      </c>
      <c r="H306" s="256">
        <v>1</v>
      </c>
      <c r="I306" s="98"/>
      <c r="J306" s="98"/>
      <c r="K306" s="98"/>
      <c r="L306" s="342">
        <f t="shared" si="22"/>
        <v>0</v>
      </c>
      <c r="M306" s="342">
        <f t="shared" si="23"/>
        <v>0</v>
      </c>
      <c r="N306" s="342">
        <f t="shared" si="24"/>
        <v>0</v>
      </c>
    </row>
    <row r="307" spans="1:14" ht="16.5" thickBot="1" x14ac:dyDescent="0.3">
      <c r="A307" s="262" t="s">
        <v>407</v>
      </c>
      <c r="B307" s="178">
        <v>9000</v>
      </c>
      <c r="C307" s="178" t="s">
        <v>454</v>
      </c>
      <c r="D307" s="178" t="s">
        <v>454</v>
      </c>
      <c r="E307" s="178" t="s">
        <v>454</v>
      </c>
      <c r="F307" s="178" t="s">
        <v>454</v>
      </c>
      <c r="G307" s="178" t="s">
        <v>454</v>
      </c>
      <c r="H307" s="178" t="s">
        <v>454</v>
      </c>
      <c r="I307" s="178" t="s">
        <v>454</v>
      </c>
      <c r="J307" s="178" t="s">
        <v>454</v>
      </c>
      <c r="K307" s="178" t="s">
        <v>454</v>
      </c>
      <c r="L307" s="341">
        <f>SUM(L302:L306)</f>
        <v>0</v>
      </c>
      <c r="M307" s="341">
        <f t="shared" ref="M307:N307" si="25">SUM(M302:M306)</f>
        <v>0</v>
      </c>
      <c r="N307" s="341">
        <f t="shared" si="25"/>
        <v>0</v>
      </c>
    </row>
    <row r="309" spans="1:14" x14ac:dyDescent="0.25">
      <c r="A309" s="937" t="s">
        <v>626</v>
      </c>
      <c r="B309" s="937"/>
      <c r="C309" s="937"/>
      <c r="D309" s="937"/>
      <c r="E309" s="937"/>
      <c r="F309" s="937"/>
      <c r="G309" s="937"/>
    </row>
    <row r="310" spans="1:14" ht="15.75" thickBot="1" x14ac:dyDescent="0.3">
      <c r="A310" s="356" t="s">
        <v>646</v>
      </c>
    </row>
    <row r="311" spans="1:14" ht="31.5" customHeight="1" thickBot="1" x14ac:dyDescent="0.3">
      <c r="A311" s="922" t="s">
        <v>30</v>
      </c>
      <c r="B311" s="922" t="s">
        <v>16</v>
      </c>
      <c r="C311" s="925" t="s">
        <v>627</v>
      </c>
      <c r="D311" s="926"/>
      <c r="E311" s="927"/>
      <c r="F311" s="925" t="s">
        <v>628</v>
      </c>
      <c r="G311" s="926"/>
      <c r="H311" s="927"/>
      <c r="I311" s="925" t="s">
        <v>540</v>
      </c>
      <c r="J311" s="926"/>
      <c r="K311" s="927"/>
    </row>
    <row r="312" spans="1:14" ht="16.5" thickBot="1" x14ac:dyDescent="0.3">
      <c r="A312" s="923"/>
      <c r="B312" s="923"/>
      <c r="C312" s="278" t="s">
        <v>548</v>
      </c>
      <c r="D312" s="278" t="s">
        <v>549</v>
      </c>
      <c r="E312" s="278" t="s">
        <v>550</v>
      </c>
      <c r="F312" s="278" t="s">
        <v>548</v>
      </c>
      <c r="G312" s="278" t="s">
        <v>549</v>
      </c>
      <c r="H312" s="278" t="s">
        <v>550</v>
      </c>
      <c r="I312" s="278" t="s">
        <v>548</v>
      </c>
      <c r="J312" s="278" t="s">
        <v>549</v>
      </c>
      <c r="K312" s="278" t="s">
        <v>550</v>
      </c>
    </row>
    <row r="313" spans="1:14" ht="34.5" thickBot="1" x14ac:dyDescent="0.3">
      <c r="A313" s="924"/>
      <c r="B313" s="924"/>
      <c r="C313" s="289" t="s">
        <v>512</v>
      </c>
      <c r="D313" s="289" t="s">
        <v>513</v>
      </c>
      <c r="E313" s="289" t="s">
        <v>514</v>
      </c>
      <c r="F313" s="289" t="s">
        <v>512</v>
      </c>
      <c r="G313" s="289" t="s">
        <v>513</v>
      </c>
      <c r="H313" s="289" t="s">
        <v>514</v>
      </c>
      <c r="I313" s="289" t="s">
        <v>512</v>
      </c>
      <c r="J313" s="289" t="s">
        <v>513</v>
      </c>
      <c r="K313" s="289" t="s">
        <v>514</v>
      </c>
    </row>
    <row r="314" spans="1:14" ht="16.5" thickBot="1" x14ac:dyDescent="0.3">
      <c r="A314" s="238">
        <v>1</v>
      </c>
      <c r="B314" s="178">
        <v>2</v>
      </c>
      <c r="C314" s="178">
        <v>3</v>
      </c>
      <c r="D314" s="178">
        <v>4</v>
      </c>
      <c r="E314" s="178">
        <v>5</v>
      </c>
      <c r="F314" s="178">
        <v>6</v>
      </c>
      <c r="G314" s="178">
        <v>7</v>
      </c>
      <c r="H314" s="178">
        <v>8</v>
      </c>
      <c r="I314" s="178">
        <v>9</v>
      </c>
      <c r="J314" s="178">
        <v>10</v>
      </c>
      <c r="K314" s="178">
        <v>11</v>
      </c>
    </row>
    <row r="315" spans="1:14" ht="16.5" thickBot="1" x14ac:dyDescent="0.3">
      <c r="A315" s="262" t="s">
        <v>648</v>
      </c>
      <c r="B315" s="178">
        <v>1</v>
      </c>
      <c r="C315" s="179">
        <v>3</v>
      </c>
      <c r="D315" s="179">
        <v>3</v>
      </c>
      <c r="E315" s="179">
        <v>3</v>
      </c>
      <c r="F315" s="179"/>
      <c r="G315" s="179">
        <v>20500</v>
      </c>
      <c r="H315" s="179">
        <v>20500</v>
      </c>
      <c r="I315" s="179">
        <f>C315*F315</f>
        <v>0</v>
      </c>
      <c r="J315" s="179">
        <f>D315*G315</f>
        <v>61500</v>
      </c>
      <c r="K315" s="179">
        <f>E315*H315</f>
        <v>61500</v>
      </c>
    </row>
    <row r="316" spans="1:14" s="294" customFormat="1" ht="16.5" thickBot="1" x14ac:dyDescent="0.3">
      <c r="A316" s="386" t="s">
        <v>407</v>
      </c>
      <c r="B316" s="387">
        <v>9000</v>
      </c>
      <c r="C316" s="387" t="s">
        <v>454</v>
      </c>
      <c r="D316" s="387" t="s">
        <v>454</v>
      </c>
      <c r="E316" s="387" t="s">
        <v>454</v>
      </c>
      <c r="F316" s="387" t="s">
        <v>454</v>
      </c>
      <c r="G316" s="387" t="s">
        <v>454</v>
      </c>
      <c r="H316" s="387" t="s">
        <v>454</v>
      </c>
      <c r="I316" s="398">
        <f>I315</f>
        <v>0</v>
      </c>
      <c r="J316" s="398">
        <f>J315</f>
        <v>61500</v>
      </c>
      <c r="K316" s="398">
        <f>K315</f>
        <v>61500</v>
      </c>
    </row>
    <row r="318" spans="1:14" s="208" customFormat="1" x14ac:dyDescent="0.25">
      <c r="A318" s="937" t="s">
        <v>647</v>
      </c>
      <c r="B318" s="937"/>
      <c r="C318" s="937"/>
      <c r="D318" s="937"/>
      <c r="E318" s="937"/>
      <c r="F318" s="937"/>
      <c r="G318" s="937"/>
    </row>
    <row r="319" spans="1:14" s="208" customFormat="1" ht="15.75" thickBot="1" x14ac:dyDescent="0.3">
      <c r="A319" s="356" t="s">
        <v>646</v>
      </c>
      <c r="B319" s="271"/>
      <c r="C319" s="271"/>
      <c r="D319" s="271"/>
      <c r="E319" s="271"/>
      <c r="F319" s="271"/>
      <c r="G319" s="271"/>
    </row>
    <row r="320" spans="1:14" s="208" customFormat="1" ht="16.5" thickBot="1" x14ac:dyDescent="0.3">
      <c r="A320" s="922" t="s">
        <v>30</v>
      </c>
      <c r="B320" s="922" t="s">
        <v>16</v>
      </c>
      <c r="C320" s="925" t="s">
        <v>637</v>
      </c>
      <c r="D320" s="926"/>
      <c r="E320" s="927"/>
      <c r="F320" s="925" t="s">
        <v>638</v>
      </c>
      <c r="G320" s="926"/>
      <c r="H320" s="927"/>
      <c r="I320" s="925" t="s">
        <v>540</v>
      </c>
      <c r="J320" s="926"/>
      <c r="K320" s="927"/>
    </row>
    <row r="321" spans="1:11" s="208" customFormat="1" ht="16.5" thickBot="1" x14ac:dyDescent="0.3">
      <c r="A321" s="923"/>
      <c r="B321" s="923"/>
      <c r="C321" s="278" t="s">
        <v>548</v>
      </c>
      <c r="D321" s="278" t="s">
        <v>549</v>
      </c>
      <c r="E321" s="278" t="s">
        <v>550</v>
      </c>
      <c r="F321" s="278" t="s">
        <v>548</v>
      </c>
      <c r="G321" s="278" t="s">
        <v>549</v>
      </c>
      <c r="H321" s="278" t="s">
        <v>550</v>
      </c>
      <c r="I321" s="278" t="s">
        <v>548</v>
      </c>
      <c r="J321" s="278" t="s">
        <v>549</v>
      </c>
      <c r="K321" s="278" t="s">
        <v>550</v>
      </c>
    </row>
    <row r="322" spans="1:11" s="208" customFormat="1" ht="34.5" thickBot="1" x14ac:dyDescent="0.3">
      <c r="A322" s="924"/>
      <c r="B322" s="924"/>
      <c r="C322" s="289" t="s">
        <v>512</v>
      </c>
      <c r="D322" s="289" t="s">
        <v>513</v>
      </c>
      <c r="E322" s="289" t="s">
        <v>514</v>
      </c>
      <c r="F322" s="289" t="s">
        <v>512</v>
      </c>
      <c r="G322" s="289" t="s">
        <v>513</v>
      </c>
      <c r="H322" s="289" t="s">
        <v>514</v>
      </c>
      <c r="I322" s="289" t="s">
        <v>512</v>
      </c>
      <c r="J322" s="289" t="s">
        <v>513</v>
      </c>
      <c r="K322" s="289" t="s">
        <v>514</v>
      </c>
    </row>
    <row r="323" spans="1:11" s="208" customFormat="1" ht="16.5" thickBot="1" x14ac:dyDescent="0.3">
      <c r="A323" s="346">
        <v>1</v>
      </c>
      <c r="B323" s="288">
        <v>2</v>
      </c>
      <c r="C323" s="288">
        <v>3</v>
      </c>
      <c r="D323" s="288">
        <v>4</v>
      </c>
      <c r="E323" s="288">
        <v>5</v>
      </c>
      <c r="F323" s="288">
        <v>6</v>
      </c>
      <c r="G323" s="288">
        <v>7</v>
      </c>
      <c r="H323" s="288">
        <v>8</v>
      </c>
      <c r="I323" s="288">
        <v>9</v>
      </c>
      <c r="J323" s="288">
        <v>10</v>
      </c>
      <c r="K323" s="288">
        <v>11</v>
      </c>
    </row>
    <row r="324" spans="1:11" s="389" customFormat="1" ht="17.25" customHeight="1" x14ac:dyDescent="0.25">
      <c r="A324" s="394" t="s">
        <v>383</v>
      </c>
      <c r="B324" s="395">
        <v>1</v>
      </c>
      <c r="C324" s="396">
        <v>2</v>
      </c>
      <c r="D324" s="396">
        <v>2</v>
      </c>
      <c r="E324" s="396">
        <v>2</v>
      </c>
      <c r="F324" s="222"/>
      <c r="G324" s="222"/>
      <c r="H324" s="222"/>
      <c r="I324" s="397">
        <f>C324*F324</f>
        <v>0</v>
      </c>
      <c r="J324" s="397">
        <f>D324*G324</f>
        <v>0</v>
      </c>
      <c r="K324" s="397">
        <f>E324*H324</f>
        <v>0</v>
      </c>
    </row>
    <row r="325" spans="1:11" s="389" customFormat="1" ht="32.25" customHeight="1" x14ac:dyDescent="0.25">
      <c r="A325" s="388" t="s">
        <v>409</v>
      </c>
      <c r="B325" s="390">
        <v>2</v>
      </c>
      <c r="C325" s="260">
        <v>4</v>
      </c>
      <c r="D325" s="260">
        <v>4</v>
      </c>
      <c r="E325" s="260">
        <v>4</v>
      </c>
      <c r="F325" s="98"/>
      <c r="G325" s="98"/>
      <c r="H325" s="98"/>
      <c r="I325" s="13">
        <f t="shared" ref="I325:I337" si="26">C325*F325</f>
        <v>0</v>
      </c>
      <c r="J325" s="13">
        <f t="shared" ref="J325:J337" si="27">D325*G325</f>
        <v>0</v>
      </c>
      <c r="K325" s="13">
        <f t="shared" ref="K325:K337" si="28">E325*H325</f>
        <v>0</v>
      </c>
    </row>
    <row r="326" spans="1:11" s="389" customFormat="1" ht="31.5" customHeight="1" x14ac:dyDescent="0.25">
      <c r="A326" s="257" t="s">
        <v>392</v>
      </c>
      <c r="B326" s="258">
        <v>3</v>
      </c>
      <c r="C326" s="260">
        <v>7</v>
      </c>
      <c r="D326" s="260">
        <v>7</v>
      </c>
      <c r="E326" s="260">
        <v>7</v>
      </c>
      <c r="F326" s="98"/>
      <c r="G326" s="98"/>
      <c r="H326" s="98"/>
      <c r="I326" s="13">
        <f t="shared" si="26"/>
        <v>0</v>
      </c>
      <c r="J326" s="13">
        <f t="shared" si="27"/>
        <v>0</v>
      </c>
      <c r="K326" s="13">
        <f t="shared" si="28"/>
        <v>0</v>
      </c>
    </row>
    <row r="327" spans="1:11" s="389" customFormat="1" ht="30" customHeight="1" x14ac:dyDescent="0.25">
      <c r="A327" s="257" t="s">
        <v>426</v>
      </c>
      <c r="B327" s="258">
        <v>4</v>
      </c>
      <c r="C327" s="260">
        <v>1</v>
      </c>
      <c r="D327" s="260">
        <v>1</v>
      </c>
      <c r="E327" s="260">
        <v>1</v>
      </c>
      <c r="F327" s="98"/>
      <c r="G327" s="98"/>
      <c r="H327" s="98"/>
      <c r="I327" s="13">
        <f t="shared" si="26"/>
        <v>0</v>
      </c>
      <c r="J327" s="13">
        <f t="shared" si="27"/>
        <v>0</v>
      </c>
      <c r="K327" s="13">
        <f t="shared" si="28"/>
        <v>0</v>
      </c>
    </row>
    <row r="328" spans="1:11" s="389" customFormat="1" ht="15.75" x14ac:dyDescent="0.25">
      <c r="A328" s="257" t="s">
        <v>419</v>
      </c>
      <c r="B328" s="258">
        <v>5</v>
      </c>
      <c r="C328" s="260">
        <v>1</v>
      </c>
      <c r="D328" s="260">
        <v>1</v>
      </c>
      <c r="E328" s="260">
        <v>1</v>
      </c>
      <c r="F328" s="98"/>
      <c r="G328" s="98"/>
      <c r="H328" s="98"/>
      <c r="I328" s="13">
        <f t="shared" si="26"/>
        <v>0</v>
      </c>
      <c r="J328" s="13">
        <f t="shared" si="27"/>
        <v>0</v>
      </c>
      <c r="K328" s="13">
        <f t="shared" si="28"/>
        <v>0</v>
      </c>
    </row>
    <row r="329" spans="1:11" s="389" customFormat="1" ht="32.25" customHeight="1" x14ac:dyDescent="0.25">
      <c r="A329" s="257" t="s">
        <v>149</v>
      </c>
      <c r="B329" s="258">
        <v>6</v>
      </c>
      <c r="C329" s="260">
        <v>1</v>
      </c>
      <c r="D329" s="260">
        <v>1</v>
      </c>
      <c r="E329" s="260">
        <v>1</v>
      </c>
      <c r="F329" s="98"/>
      <c r="G329" s="98"/>
      <c r="H329" s="98"/>
      <c r="I329" s="13">
        <f t="shared" si="26"/>
        <v>0</v>
      </c>
      <c r="J329" s="13">
        <f t="shared" si="27"/>
        <v>0</v>
      </c>
      <c r="K329" s="13">
        <f t="shared" si="28"/>
        <v>0</v>
      </c>
    </row>
    <row r="330" spans="1:11" s="389" customFormat="1" ht="31.5" customHeight="1" x14ac:dyDescent="0.25">
      <c r="A330" s="257" t="s">
        <v>201</v>
      </c>
      <c r="B330" s="258">
        <v>7</v>
      </c>
      <c r="C330" s="260">
        <v>1</v>
      </c>
      <c r="D330" s="260">
        <v>1</v>
      </c>
      <c r="E330" s="260">
        <v>1</v>
      </c>
      <c r="F330" s="98"/>
      <c r="G330" s="98"/>
      <c r="H330" s="98"/>
      <c r="I330" s="13">
        <f t="shared" si="26"/>
        <v>0</v>
      </c>
      <c r="J330" s="13">
        <f t="shared" si="27"/>
        <v>0</v>
      </c>
      <c r="K330" s="13">
        <f t="shared" si="28"/>
        <v>0</v>
      </c>
    </row>
    <row r="331" spans="1:11" s="389" customFormat="1" ht="33" customHeight="1" x14ac:dyDescent="0.25">
      <c r="A331" s="257" t="s">
        <v>400</v>
      </c>
      <c r="B331" s="258">
        <v>8</v>
      </c>
      <c r="C331" s="260">
        <v>12</v>
      </c>
      <c r="D331" s="260">
        <v>12</v>
      </c>
      <c r="E331" s="260">
        <v>12</v>
      </c>
      <c r="F331" s="98"/>
      <c r="G331" s="98"/>
      <c r="H331" s="98"/>
      <c r="I331" s="13">
        <f t="shared" si="26"/>
        <v>0</v>
      </c>
      <c r="J331" s="13">
        <f t="shared" si="27"/>
        <v>0</v>
      </c>
      <c r="K331" s="13">
        <f t="shared" si="28"/>
        <v>0</v>
      </c>
    </row>
    <row r="332" spans="1:11" s="389" customFormat="1" ht="28.5" customHeight="1" x14ac:dyDescent="0.25">
      <c r="A332" s="257" t="s">
        <v>150</v>
      </c>
      <c r="B332" s="258">
        <v>9</v>
      </c>
      <c r="C332" s="260">
        <v>1</v>
      </c>
      <c r="D332" s="260">
        <v>1</v>
      </c>
      <c r="E332" s="260">
        <v>1</v>
      </c>
      <c r="F332" s="98"/>
      <c r="G332" s="98"/>
      <c r="H332" s="98"/>
      <c r="I332" s="13">
        <f t="shared" si="26"/>
        <v>0</v>
      </c>
      <c r="J332" s="13">
        <f t="shared" si="27"/>
        <v>0</v>
      </c>
      <c r="K332" s="13">
        <f t="shared" si="28"/>
        <v>0</v>
      </c>
    </row>
    <row r="333" spans="1:11" s="389" customFormat="1" ht="16.5" customHeight="1" x14ac:dyDescent="0.25">
      <c r="A333" s="257" t="s">
        <v>402</v>
      </c>
      <c r="B333" s="258">
        <v>10</v>
      </c>
      <c r="C333" s="260">
        <v>1</v>
      </c>
      <c r="D333" s="260">
        <v>1</v>
      </c>
      <c r="E333" s="260">
        <v>1</v>
      </c>
      <c r="F333" s="98"/>
      <c r="G333" s="98"/>
      <c r="H333" s="98"/>
      <c r="I333" s="13">
        <f t="shared" si="26"/>
        <v>0</v>
      </c>
      <c r="J333" s="13">
        <f t="shared" si="27"/>
        <v>0</v>
      </c>
      <c r="K333" s="13">
        <f t="shared" si="28"/>
        <v>0</v>
      </c>
    </row>
    <row r="334" spans="1:11" s="389" customFormat="1" ht="14.25" customHeight="1" x14ac:dyDescent="0.25">
      <c r="A334" s="257" t="s">
        <v>436</v>
      </c>
      <c r="B334" s="258">
        <v>11</v>
      </c>
      <c r="C334" s="260">
        <v>1</v>
      </c>
      <c r="D334" s="260">
        <v>1</v>
      </c>
      <c r="E334" s="260">
        <v>1</v>
      </c>
      <c r="F334" s="98"/>
      <c r="G334" s="98"/>
      <c r="H334" s="98"/>
      <c r="I334" s="13">
        <f t="shared" si="26"/>
        <v>0</v>
      </c>
      <c r="J334" s="13">
        <f t="shared" si="27"/>
        <v>0</v>
      </c>
      <c r="K334" s="13">
        <f t="shared" si="28"/>
        <v>0</v>
      </c>
    </row>
    <row r="335" spans="1:11" s="208" customFormat="1" ht="30.75" customHeight="1" x14ac:dyDescent="0.25">
      <c r="A335" s="257" t="s">
        <v>403</v>
      </c>
      <c r="B335" s="258">
        <v>12</v>
      </c>
      <c r="C335" s="260">
        <v>1</v>
      </c>
      <c r="D335" s="260">
        <v>1</v>
      </c>
      <c r="E335" s="260">
        <v>1</v>
      </c>
      <c r="F335" s="98"/>
      <c r="G335" s="98"/>
      <c r="H335" s="98"/>
      <c r="I335" s="13">
        <f t="shared" si="26"/>
        <v>0</v>
      </c>
      <c r="J335" s="13">
        <f t="shared" si="27"/>
        <v>0</v>
      </c>
      <c r="K335" s="13">
        <f t="shared" si="28"/>
        <v>0</v>
      </c>
    </row>
    <row r="336" spans="1:11" s="208" customFormat="1" ht="28.5" customHeight="1" x14ac:dyDescent="0.25">
      <c r="A336" s="257" t="s">
        <v>410</v>
      </c>
      <c r="B336" s="258">
        <v>13</v>
      </c>
      <c r="C336" s="260">
        <v>1</v>
      </c>
      <c r="D336" s="260">
        <v>1</v>
      </c>
      <c r="E336" s="260">
        <v>1</v>
      </c>
      <c r="F336" s="98"/>
      <c r="G336" s="98"/>
      <c r="H336" s="98"/>
      <c r="I336" s="13">
        <f t="shared" si="26"/>
        <v>0</v>
      </c>
      <c r="J336" s="13">
        <f t="shared" si="27"/>
        <v>0</v>
      </c>
      <c r="K336" s="13">
        <f t="shared" si="28"/>
        <v>0</v>
      </c>
    </row>
    <row r="337" spans="1:11" s="208" customFormat="1" ht="27.75" thickBot="1" x14ac:dyDescent="0.3">
      <c r="A337" s="391" t="s">
        <v>401</v>
      </c>
      <c r="B337" s="295">
        <v>14</v>
      </c>
      <c r="C337" s="296">
        <v>1</v>
      </c>
      <c r="D337" s="296">
        <v>1</v>
      </c>
      <c r="E337" s="296">
        <v>1</v>
      </c>
      <c r="F337" s="392"/>
      <c r="G337" s="392"/>
      <c r="H337" s="392"/>
      <c r="I337" s="393">
        <f t="shared" si="26"/>
        <v>0</v>
      </c>
      <c r="J337" s="393">
        <f t="shared" si="27"/>
        <v>0</v>
      </c>
      <c r="K337" s="393">
        <f t="shared" si="28"/>
        <v>0</v>
      </c>
    </row>
    <row r="338" spans="1:11" s="208" customFormat="1" ht="16.5" thickBot="1" x14ac:dyDescent="0.3">
      <c r="A338" s="383" t="s">
        <v>407</v>
      </c>
      <c r="B338" s="384">
        <v>9000</v>
      </c>
      <c r="C338" s="384" t="s">
        <v>454</v>
      </c>
      <c r="D338" s="384" t="s">
        <v>454</v>
      </c>
      <c r="E338" s="384" t="s">
        <v>454</v>
      </c>
      <c r="F338" s="384" t="s">
        <v>454</v>
      </c>
      <c r="G338" s="384" t="s">
        <v>454</v>
      </c>
      <c r="H338" s="384" t="s">
        <v>454</v>
      </c>
      <c r="I338" s="385">
        <f>SUM(I324:I337)</f>
        <v>0</v>
      </c>
      <c r="J338" s="385">
        <f t="shared" ref="J338:K338" si="29">SUM(J324:J337)</f>
        <v>0</v>
      </c>
      <c r="K338" s="385">
        <f t="shared" si="29"/>
        <v>0</v>
      </c>
    </row>
    <row r="339" spans="1:11" s="208" customFormat="1" ht="15.75" x14ac:dyDescent="0.25">
      <c r="A339" s="399"/>
      <c r="B339" s="400"/>
      <c r="C339" s="400"/>
      <c r="D339" s="400"/>
      <c r="E339" s="400"/>
      <c r="F339" s="400"/>
      <c r="G339" s="400"/>
      <c r="H339" s="400"/>
      <c r="I339" s="401"/>
      <c r="J339" s="401"/>
      <c r="K339" s="401"/>
    </row>
    <row r="340" spans="1:11" s="208" customFormat="1" ht="15.75" x14ac:dyDescent="0.25">
      <c r="A340" s="937" t="s">
        <v>644</v>
      </c>
      <c r="B340" s="937"/>
      <c r="C340" s="937"/>
      <c r="D340" s="937"/>
      <c r="E340" s="937"/>
      <c r="F340" s="937"/>
      <c r="G340" s="937"/>
      <c r="H340" s="400"/>
      <c r="I340" s="401"/>
      <c r="J340" s="401"/>
      <c r="K340" s="401"/>
    </row>
    <row r="341" spans="1:11" s="208" customFormat="1" ht="15.75" thickBot="1" x14ac:dyDescent="0.3">
      <c r="A341" s="356" t="s">
        <v>642</v>
      </c>
    </row>
    <row r="342" spans="1:11" s="208" customFormat="1" ht="16.5" thickBot="1" x14ac:dyDescent="0.3">
      <c r="A342" s="922" t="s">
        <v>30</v>
      </c>
      <c r="B342" s="922" t="s">
        <v>16</v>
      </c>
      <c r="C342" s="925" t="s">
        <v>637</v>
      </c>
      <c r="D342" s="926"/>
      <c r="E342" s="927"/>
      <c r="F342" s="925" t="s">
        <v>638</v>
      </c>
      <c r="G342" s="926"/>
      <c r="H342" s="927"/>
      <c r="I342" s="925" t="s">
        <v>540</v>
      </c>
      <c r="J342" s="926"/>
      <c r="K342" s="927"/>
    </row>
    <row r="343" spans="1:11" s="208" customFormat="1" ht="16.5" thickBot="1" x14ac:dyDescent="0.3">
      <c r="A343" s="923"/>
      <c r="B343" s="923"/>
      <c r="C343" s="278" t="s">
        <v>548</v>
      </c>
      <c r="D343" s="278" t="s">
        <v>549</v>
      </c>
      <c r="E343" s="278" t="s">
        <v>550</v>
      </c>
      <c r="F343" s="278" t="s">
        <v>548</v>
      </c>
      <c r="G343" s="278" t="s">
        <v>549</v>
      </c>
      <c r="H343" s="278" t="s">
        <v>550</v>
      </c>
      <c r="I343" s="278" t="s">
        <v>548</v>
      </c>
      <c r="J343" s="278" t="s">
        <v>549</v>
      </c>
      <c r="K343" s="278" t="s">
        <v>550</v>
      </c>
    </row>
    <row r="344" spans="1:11" s="208" customFormat="1" ht="34.5" thickBot="1" x14ac:dyDescent="0.3">
      <c r="A344" s="924"/>
      <c r="B344" s="924"/>
      <c r="C344" s="289" t="s">
        <v>512</v>
      </c>
      <c r="D344" s="289" t="s">
        <v>513</v>
      </c>
      <c r="E344" s="289" t="s">
        <v>514</v>
      </c>
      <c r="F344" s="289" t="s">
        <v>512</v>
      </c>
      <c r="G344" s="289" t="s">
        <v>513</v>
      </c>
      <c r="H344" s="289" t="s">
        <v>514</v>
      </c>
      <c r="I344" s="289" t="s">
        <v>512</v>
      </c>
      <c r="J344" s="289" t="s">
        <v>513</v>
      </c>
      <c r="K344" s="289" t="s">
        <v>514</v>
      </c>
    </row>
    <row r="345" spans="1:11" s="208" customFormat="1" ht="16.5" thickBot="1" x14ac:dyDescent="0.3">
      <c r="A345" s="346">
        <v>1</v>
      </c>
      <c r="B345" s="288">
        <v>2</v>
      </c>
      <c r="C345" s="288">
        <v>3</v>
      </c>
      <c r="D345" s="288">
        <v>4</v>
      </c>
      <c r="E345" s="288">
        <v>5</v>
      </c>
      <c r="F345" s="288">
        <v>6</v>
      </c>
      <c r="G345" s="288">
        <v>7</v>
      </c>
      <c r="H345" s="288">
        <v>8</v>
      </c>
      <c r="I345" s="288">
        <v>9</v>
      </c>
      <c r="J345" s="288">
        <v>10</v>
      </c>
      <c r="K345" s="288">
        <v>11</v>
      </c>
    </row>
    <row r="346" spans="1:11" s="208" customFormat="1" ht="16.5" thickBot="1" x14ac:dyDescent="0.3">
      <c r="A346" s="366" t="s">
        <v>643</v>
      </c>
      <c r="B346" s="367">
        <v>1</v>
      </c>
      <c r="C346" s="382">
        <v>1</v>
      </c>
      <c r="D346" s="382">
        <v>0</v>
      </c>
      <c r="E346" s="382">
        <v>0</v>
      </c>
      <c r="F346" s="369"/>
      <c r="G346" s="369">
        <v>0</v>
      </c>
      <c r="H346" s="369">
        <v>0</v>
      </c>
      <c r="I346" s="370">
        <f>C346*F346</f>
        <v>0</v>
      </c>
      <c r="J346" s="370">
        <f>D346*G346</f>
        <v>0</v>
      </c>
      <c r="K346" s="371">
        <f>E346*H346</f>
        <v>0</v>
      </c>
    </row>
    <row r="347" spans="1:11" s="294" customFormat="1" ht="16.5" thickBot="1" x14ac:dyDescent="0.3">
      <c r="A347" s="383" t="s">
        <v>407</v>
      </c>
      <c r="B347" s="384">
        <v>9000</v>
      </c>
      <c r="C347" s="384" t="s">
        <v>454</v>
      </c>
      <c r="D347" s="384" t="s">
        <v>454</v>
      </c>
      <c r="E347" s="384" t="s">
        <v>454</v>
      </c>
      <c r="F347" s="384" t="s">
        <v>454</v>
      </c>
      <c r="G347" s="384" t="s">
        <v>454</v>
      </c>
      <c r="H347" s="384" t="s">
        <v>454</v>
      </c>
      <c r="I347" s="385">
        <f>I346</f>
        <v>0</v>
      </c>
      <c r="J347" s="385">
        <f t="shared" ref="J347:K347" si="30">J346</f>
        <v>0</v>
      </c>
      <c r="K347" s="385">
        <f t="shared" si="30"/>
        <v>0</v>
      </c>
    </row>
    <row r="348" spans="1:11" x14ac:dyDescent="0.25">
      <c r="A348" s="937" t="s">
        <v>645</v>
      </c>
      <c r="B348" s="937"/>
      <c r="C348" s="937"/>
      <c r="D348" s="937"/>
      <c r="E348" s="937"/>
      <c r="F348" s="937"/>
      <c r="G348" s="937"/>
    </row>
    <row r="349" spans="1:11" ht="15.75" thickBot="1" x14ac:dyDescent="0.3">
      <c r="A349" s="356" t="s">
        <v>641</v>
      </c>
    </row>
    <row r="350" spans="1:11" ht="16.5" thickBot="1" x14ac:dyDescent="0.3">
      <c r="A350" s="922" t="s">
        <v>30</v>
      </c>
      <c r="B350" s="922" t="s">
        <v>16</v>
      </c>
      <c r="C350" s="925" t="s">
        <v>637</v>
      </c>
      <c r="D350" s="926"/>
      <c r="E350" s="927"/>
      <c r="F350" s="925" t="s">
        <v>638</v>
      </c>
      <c r="G350" s="926"/>
      <c r="H350" s="927"/>
      <c r="I350" s="925" t="s">
        <v>540</v>
      </c>
      <c r="J350" s="926"/>
      <c r="K350" s="927"/>
    </row>
    <row r="351" spans="1:11" ht="16.5" thickBot="1" x14ac:dyDescent="0.3">
      <c r="A351" s="923"/>
      <c r="B351" s="923"/>
      <c r="C351" s="278" t="s">
        <v>548</v>
      </c>
      <c r="D351" s="278" t="s">
        <v>549</v>
      </c>
      <c r="E351" s="278" t="s">
        <v>550</v>
      </c>
      <c r="F351" s="278" t="s">
        <v>548</v>
      </c>
      <c r="G351" s="278" t="s">
        <v>549</v>
      </c>
      <c r="H351" s="278" t="s">
        <v>550</v>
      </c>
      <c r="I351" s="278" t="s">
        <v>548</v>
      </c>
      <c r="J351" s="278" t="s">
        <v>549</v>
      </c>
      <c r="K351" s="278" t="s">
        <v>550</v>
      </c>
    </row>
    <row r="352" spans="1:11" ht="34.5" thickBot="1" x14ac:dyDescent="0.3">
      <c r="A352" s="924"/>
      <c r="B352" s="924"/>
      <c r="C352" s="289" t="s">
        <v>512</v>
      </c>
      <c r="D352" s="289" t="s">
        <v>513</v>
      </c>
      <c r="E352" s="289" t="s">
        <v>514</v>
      </c>
      <c r="F352" s="289" t="s">
        <v>512</v>
      </c>
      <c r="G352" s="289" t="s">
        <v>513</v>
      </c>
      <c r="H352" s="289" t="s">
        <v>514</v>
      </c>
      <c r="I352" s="289" t="s">
        <v>512</v>
      </c>
      <c r="J352" s="289" t="s">
        <v>513</v>
      </c>
      <c r="K352" s="289" t="s">
        <v>514</v>
      </c>
    </row>
    <row r="353" spans="1:11" ht="16.5" thickBot="1" x14ac:dyDescent="0.3">
      <c r="A353" s="346">
        <v>1</v>
      </c>
      <c r="B353" s="288">
        <v>2</v>
      </c>
      <c r="C353" s="288">
        <v>3</v>
      </c>
      <c r="D353" s="288">
        <v>4</v>
      </c>
      <c r="E353" s="288">
        <v>5</v>
      </c>
      <c r="F353" s="288">
        <v>6</v>
      </c>
      <c r="G353" s="288">
        <v>7</v>
      </c>
      <c r="H353" s="288">
        <v>8</v>
      </c>
      <c r="I353" s="288">
        <v>9</v>
      </c>
      <c r="J353" s="288">
        <v>10</v>
      </c>
      <c r="K353" s="288">
        <v>11</v>
      </c>
    </row>
    <row r="354" spans="1:11" ht="16.5" customHeight="1" x14ac:dyDescent="0.25">
      <c r="A354" s="366" t="s">
        <v>404</v>
      </c>
      <c r="B354" s="367">
        <v>1</v>
      </c>
      <c r="C354" s="368">
        <v>1836</v>
      </c>
      <c r="D354" s="368">
        <v>1836</v>
      </c>
      <c r="E354" s="368">
        <v>1836</v>
      </c>
      <c r="F354" s="369"/>
      <c r="G354" s="369"/>
      <c r="H354" s="369"/>
      <c r="I354" s="370">
        <f>C354*F354</f>
        <v>0</v>
      </c>
      <c r="J354" s="370">
        <f>D354*G354</f>
        <v>0</v>
      </c>
      <c r="K354" s="371">
        <f>E354*H354</f>
        <v>0</v>
      </c>
    </row>
    <row r="355" spans="1:11" ht="16.5" customHeight="1" x14ac:dyDescent="0.25">
      <c r="A355" s="372" t="s">
        <v>384</v>
      </c>
      <c r="B355" s="220">
        <v>2</v>
      </c>
      <c r="C355" s="225">
        <v>408</v>
      </c>
      <c r="D355" s="225">
        <v>408</v>
      </c>
      <c r="E355" s="225">
        <v>408</v>
      </c>
      <c r="F355" s="207"/>
      <c r="G355" s="207"/>
      <c r="H355" s="207"/>
      <c r="I355" s="352">
        <f t="shared" ref="I355:I366" si="31">C355*F355</f>
        <v>0</v>
      </c>
      <c r="J355" s="352">
        <f t="shared" ref="J355:J366" si="32">D355*G355</f>
        <v>0</v>
      </c>
      <c r="K355" s="373">
        <f t="shared" ref="K355:K366" si="33">E355*H355</f>
        <v>0</v>
      </c>
    </row>
    <row r="356" spans="1:11" ht="15.75" x14ac:dyDescent="0.25">
      <c r="A356" s="374" t="s">
        <v>385</v>
      </c>
      <c r="B356" s="260">
        <v>3</v>
      </c>
      <c r="C356" s="225">
        <v>74</v>
      </c>
      <c r="D356" s="225">
        <v>74</v>
      </c>
      <c r="E356" s="225">
        <v>74</v>
      </c>
      <c r="F356" s="206"/>
      <c r="G356" s="206"/>
      <c r="H356" s="206"/>
      <c r="I356" s="352">
        <f t="shared" si="31"/>
        <v>0</v>
      </c>
      <c r="J356" s="352">
        <f t="shared" si="32"/>
        <v>0</v>
      </c>
      <c r="K356" s="373">
        <f t="shared" si="33"/>
        <v>0</v>
      </c>
    </row>
    <row r="357" spans="1:11" ht="15.75" x14ac:dyDescent="0.25">
      <c r="A357" s="374" t="s">
        <v>405</v>
      </c>
      <c r="B357" s="260">
        <v>4</v>
      </c>
      <c r="C357" s="225">
        <v>185</v>
      </c>
      <c r="D357" s="225">
        <v>185</v>
      </c>
      <c r="E357" s="225">
        <v>185</v>
      </c>
      <c r="F357" s="206"/>
      <c r="G357" s="206"/>
      <c r="H357" s="206"/>
      <c r="I357" s="352">
        <f t="shared" si="31"/>
        <v>0</v>
      </c>
      <c r="J357" s="352">
        <f t="shared" si="32"/>
        <v>0</v>
      </c>
      <c r="K357" s="373">
        <f t="shared" si="33"/>
        <v>0</v>
      </c>
    </row>
    <row r="358" spans="1:11" ht="15" customHeight="1" x14ac:dyDescent="0.25">
      <c r="A358" s="372" t="s">
        <v>386</v>
      </c>
      <c r="B358" s="220">
        <v>5</v>
      </c>
      <c r="C358" s="225">
        <v>10</v>
      </c>
      <c r="D358" s="225">
        <v>10</v>
      </c>
      <c r="E358" s="225">
        <v>10</v>
      </c>
      <c r="F358" s="206"/>
      <c r="G358" s="206"/>
      <c r="H358" s="206"/>
      <c r="I358" s="352">
        <f t="shared" si="31"/>
        <v>0</v>
      </c>
      <c r="J358" s="352">
        <f t="shared" si="32"/>
        <v>0</v>
      </c>
      <c r="K358" s="373">
        <f t="shared" si="33"/>
        <v>0</v>
      </c>
    </row>
    <row r="359" spans="1:11" ht="15" customHeight="1" x14ac:dyDescent="0.25">
      <c r="A359" s="375" t="s">
        <v>432</v>
      </c>
      <c r="B359" s="355" t="s">
        <v>639</v>
      </c>
      <c r="C359" s="225">
        <v>85</v>
      </c>
      <c r="D359" s="225">
        <v>85</v>
      </c>
      <c r="E359" s="225">
        <v>85</v>
      </c>
      <c r="F359" s="207"/>
      <c r="G359" s="207"/>
      <c r="H359" s="207"/>
      <c r="I359" s="352">
        <f t="shared" si="31"/>
        <v>0</v>
      </c>
      <c r="J359" s="352">
        <f t="shared" si="32"/>
        <v>0</v>
      </c>
      <c r="K359" s="373">
        <f t="shared" si="33"/>
        <v>0</v>
      </c>
    </row>
    <row r="360" spans="1:11" ht="15" customHeight="1" x14ac:dyDescent="0.25">
      <c r="A360" s="372" t="s">
        <v>386</v>
      </c>
      <c r="B360" s="220">
        <v>7</v>
      </c>
      <c r="C360" s="225">
        <v>90</v>
      </c>
      <c r="D360" s="225">
        <v>90</v>
      </c>
      <c r="E360" s="225">
        <v>90</v>
      </c>
      <c r="F360" s="207"/>
      <c r="G360" s="207"/>
      <c r="H360" s="207"/>
      <c r="I360" s="352">
        <f t="shared" si="31"/>
        <v>0</v>
      </c>
      <c r="J360" s="352">
        <f t="shared" si="32"/>
        <v>0</v>
      </c>
      <c r="K360" s="373">
        <f t="shared" si="33"/>
        <v>0</v>
      </c>
    </row>
    <row r="361" spans="1:11" ht="15" customHeight="1" x14ac:dyDescent="0.25">
      <c r="A361" s="372" t="s">
        <v>387</v>
      </c>
      <c r="B361" s="220">
        <v>8</v>
      </c>
      <c r="C361" s="226">
        <v>60</v>
      </c>
      <c r="D361" s="226">
        <v>60</v>
      </c>
      <c r="E361" s="226">
        <v>60</v>
      </c>
      <c r="F361" s="207"/>
      <c r="G361" s="207"/>
      <c r="H361" s="207"/>
      <c r="I361" s="352">
        <f t="shared" si="31"/>
        <v>0</v>
      </c>
      <c r="J361" s="352">
        <f t="shared" si="32"/>
        <v>0</v>
      </c>
      <c r="K361" s="373">
        <f t="shared" si="33"/>
        <v>0</v>
      </c>
    </row>
    <row r="362" spans="1:11" ht="15" customHeight="1" x14ac:dyDescent="0.25">
      <c r="A362" s="372" t="s">
        <v>388</v>
      </c>
      <c r="B362" s="220">
        <v>9</v>
      </c>
      <c r="C362" s="225">
        <v>85</v>
      </c>
      <c r="D362" s="225">
        <v>85</v>
      </c>
      <c r="E362" s="225">
        <v>85</v>
      </c>
      <c r="F362" s="207"/>
      <c r="G362" s="207"/>
      <c r="H362" s="207"/>
      <c r="I362" s="352">
        <f t="shared" si="31"/>
        <v>0</v>
      </c>
      <c r="J362" s="352">
        <f t="shared" si="32"/>
        <v>0</v>
      </c>
      <c r="K362" s="373">
        <f t="shared" si="33"/>
        <v>0</v>
      </c>
    </row>
    <row r="363" spans="1:11" ht="15" customHeight="1" x14ac:dyDescent="0.25">
      <c r="A363" s="372" t="s">
        <v>389</v>
      </c>
      <c r="B363" s="220">
        <v>10</v>
      </c>
      <c r="C363" s="225">
        <v>85</v>
      </c>
      <c r="D363" s="225">
        <v>85</v>
      </c>
      <c r="E363" s="225">
        <v>85</v>
      </c>
      <c r="F363" s="207"/>
      <c r="G363" s="207"/>
      <c r="H363" s="207"/>
      <c r="I363" s="352">
        <f t="shared" si="31"/>
        <v>0</v>
      </c>
      <c r="J363" s="352">
        <f t="shared" si="32"/>
        <v>0</v>
      </c>
      <c r="K363" s="373">
        <f t="shared" si="33"/>
        <v>0</v>
      </c>
    </row>
    <row r="364" spans="1:11" ht="15" customHeight="1" x14ac:dyDescent="0.25">
      <c r="A364" s="375" t="s">
        <v>390</v>
      </c>
      <c r="B364" s="355" t="s">
        <v>640</v>
      </c>
      <c r="C364" s="225">
        <v>85</v>
      </c>
      <c r="D364" s="225">
        <v>85</v>
      </c>
      <c r="E364" s="225">
        <v>85</v>
      </c>
      <c r="F364" s="207"/>
      <c r="G364" s="207"/>
      <c r="H364" s="207"/>
      <c r="I364" s="352">
        <f t="shared" si="31"/>
        <v>0</v>
      </c>
      <c r="J364" s="352">
        <f t="shared" si="32"/>
        <v>0</v>
      </c>
      <c r="K364" s="373">
        <f t="shared" si="33"/>
        <v>0</v>
      </c>
    </row>
    <row r="365" spans="1:11" ht="15" customHeight="1" x14ac:dyDescent="0.25">
      <c r="A365" s="372" t="s">
        <v>391</v>
      </c>
      <c r="B365" s="220">
        <v>12</v>
      </c>
      <c r="C365" s="225">
        <v>10</v>
      </c>
      <c r="D365" s="225">
        <v>10</v>
      </c>
      <c r="E365" s="225">
        <v>10</v>
      </c>
      <c r="F365" s="207"/>
      <c r="G365" s="207"/>
      <c r="H365" s="207"/>
      <c r="I365" s="352">
        <f t="shared" si="31"/>
        <v>0</v>
      </c>
      <c r="J365" s="352">
        <f t="shared" si="32"/>
        <v>0</v>
      </c>
      <c r="K365" s="373">
        <f t="shared" si="33"/>
        <v>0</v>
      </c>
    </row>
    <row r="366" spans="1:11" ht="16.5" thickBot="1" x14ac:dyDescent="0.3">
      <c r="A366" s="376" t="s">
        <v>434</v>
      </c>
      <c r="B366" s="377">
        <v>13</v>
      </c>
      <c r="C366" s="378">
        <v>3</v>
      </c>
      <c r="D366" s="378">
        <v>3</v>
      </c>
      <c r="E366" s="378">
        <v>3</v>
      </c>
      <c r="F366" s="379"/>
      <c r="G366" s="379"/>
      <c r="H366" s="379"/>
      <c r="I366" s="380">
        <f t="shared" si="31"/>
        <v>0</v>
      </c>
      <c r="J366" s="380">
        <f t="shared" si="32"/>
        <v>0</v>
      </c>
      <c r="K366" s="381">
        <f t="shared" si="33"/>
        <v>0</v>
      </c>
    </row>
    <row r="367" spans="1:11" s="208" customFormat="1" ht="16.5" thickBot="1" x14ac:dyDescent="0.3">
      <c r="A367" s="357"/>
      <c r="B367" s="359"/>
      <c r="C367" s="360"/>
      <c r="D367" s="360"/>
      <c r="E367" s="360"/>
      <c r="F367" s="361"/>
      <c r="G367" s="362"/>
      <c r="H367" s="363" t="s">
        <v>427</v>
      </c>
      <c r="I367" s="364">
        <f>SUM(I354:I366)</f>
        <v>0</v>
      </c>
      <c r="J367" s="364">
        <f t="shared" ref="J367:K367" si="34">SUM(J354:J366)</f>
        <v>0</v>
      </c>
      <c r="K367" s="365">
        <f t="shared" si="34"/>
        <v>0</v>
      </c>
    </row>
    <row r="368" spans="1:11" s="208" customFormat="1" ht="16.5" thickBot="1" x14ac:dyDescent="0.3">
      <c r="A368" s="349" t="s">
        <v>407</v>
      </c>
      <c r="B368" s="288">
        <v>9000</v>
      </c>
      <c r="C368" s="288" t="s">
        <v>454</v>
      </c>
      <c r="D368" s="288" t="s">
        <v>454</v>
      </c>
      <c r="E368" s="288" t="s">
        <v>454</v>
      </c>
      <c r="F368" s="288" t="s">
        <v>454</v>
      </c>
      <c r="G368" s="288" t="s">
        <v>454</v>
      </c>
      <c r="H368" s="288" t="s">
        <v>454</v>
      </c>
      <c r="I368" s="358">
        <f>SUM(I354:I366)</f>
        <v>0</v>
      </c>
      <c r="J368" s="358">
        <f t="shared" ref="J368:K368" si="35">SUM(J354:J366)</f>
        <v>0</v>
      </c>
      <c r="K368" s="358">
        <f t="shared" si="35"/>
        <v>0</v>
      </c>
    </row>
  </sheetData>
  <mergeCells count="185">
    <mergeCell ref="A157:C157"/>
    <mergeCell ref="A158:C158"/>
    <mergeCell ref="A159:C159"/>
    <mergeCell ref="A342:A344"/>
    <mergeCell ref="B342:B344"/>
    <mergeCell ref="C342:E342"/>
    <mergeCell ref="F342:H342"/>
    <mergeCell ref="A318:G318"/>
    <mergeCell ref="A320:A322"/>
    <mergeCell ref="B320:B322"/>
    <mergeCell ref="C320:E320"/>
    <mergeCell ref="F320:H320"/>
    <mergeCell ref="A340:G340"/>
    <mergeCell ref="A210:I210"/>
    <mergeCell ref="A212:A214"/>
    <mergeCell ref="B212:B214"/>
    <mergeCell ref="C212:E212"/>
    <mergeCell ref="F212:H212"/>
    <mergeCell ref="I212:K212"/>
    <mergeCell ref="B175:B176"/>
    <mergeCell ref="H175:H176"/>
    <mergeCell ref="G175:G176"/>
    <mergeCell ref="A160:I160"/>
    <mergeCell ref="A161:A163"/>
    <mergeCell ref="A348:G348"/>
    <mergeCell ref="A350:A352"/>
    <mergeCell ref="B350:B352"/>
    <mergeCell ref="C350:E350"/>
    <mergeCell ref="F350:H350"/>
    <mergeCell ref="I350:K350"/>
    <mergeCell ref="I342:K342"/>
    <mergeCell ref="I320:K320"/>
    <mergeCell ref="A20:H20"/>
    <mergeCell ref="A21:A23"/>
    <mergeCell ref="B21:B23"/>
    <mergeCell ref="C21:E21"/>
    <mergeCell ref="F21:H21"/>
    <mergeCell ref="I21:K21"/>
    <mergeCell ref="A62:K62"/>
    <mergeCell ref="A64:A66"/>
    <mergeCell ref="B64:B66"/>
    <mergeCell ref="C64:E64"/>
    <mergeCell ref="B70:B71"/>
    <mergeCell ref="C70:C71"/>
    <mergeCell ref="D70:D71"/>
    <mergeCell ref="E70:E71"/>
    <mergeCell ref="A30:I30"/>
    <mergeCell ref="A32:A34"/>
    <mergeCell ref="A1:F2"/>
    <mergeCell ref="A5:H5"/>
    <mergeCell ref="A6:A8"/>
    <mergeCell ref="B6:B8"/>
    <mergeCell ref="C6:E6"/>
    <mergeCell ref="B12:B13"/>
    <mergeCell ref="C12:C13"/>
    <mergeCell ref="D12:D13"/>
    <mergeCell ref="E12:E13"/>
    <mergeCell ref="B32:B34"/>
    <mergeCell ref="C32:E32"/>
    <mergeCell ref="F32:H32"/>
    <mergeCell ref="I32:K32"/>
    <mergeCell ref="L91:L94"/>
    <mergeCell ref="D92:D94"/>
    <mergeCell ref="E92:K92"/>
    <mergeCell ref="E93:E94"/>
    <mergeCell ref="F93:F94"/>
    <mergeCell ref="G93:G94"/>
    <mergeCell ref="H93:I93"/>
    <mergeCell ref="J93:K93"/>
    <mergeCell ref="A76:H76"/>
    <mergeCell ref="A78:A80"/>
    <mergeCell ref="B78:B80"/>
    <mergeCell ref="C78:E78"/>
    <mergeCell ref="A89:H89"/>
    <mergeCell ref="A91:A94"/>
    <mergeCell ref="B91:B94"/>
    <mergeCell ref="C91:C94"/>
    <mergeCell ref="D91:K91"/>
    <mergeCell ref="A112:H112"/>
    <mergeCell ref="A114:A117"/>
    <mergeCell ref="B114:B117"/>
    <mergeCell ref="C114:C117"/>
    <mergeCell ref="D114:K114"/>
    <mergeCell ref="L114:L117"/>
    <mergeCell ref="D115:D117"/>
    <mergeCell ref="E115:K115"/>
    <mergeCell ref="E116:E117"/>
    <mergeCell ref="F116:F117"/>
    <mergeCell ref="L137:L140"/>
    <mergeCell ref="D138:D140"/>
    <mergeCell ref="E138:K138"/>
    <mergeCell ref="E139:E140"/>
    <mergeCell ref="F139:F140"/>
    <mergeCell ref="G139:G140"/>
    <mergeCell ref="H139:I139"/>
    <mergeCell ref="J139:K139"/>
    <mergeCell ref="G116:G117"/>
    <mergeCell ref="H116:I116"/>
    <mergeCell ref="J116:K116"/>
    <mergeCell ref="A135:I135"/>
    <mergeCell ref="A137:A140"/>
    <mergeCell ref="B137:B140"/>
    <mergeCell ref="C137:C140"/>
    <mergeCell ref="D137:K137"/>
    <mergeCell ref="B161:B163"/>
    <mergeCell ref="C161:E161"/>
    <mergeCell ref="A168:H168"/>
    <mergeCell ref="A170:A172"/>
    <mergeCell ref="B170:B172"/>
    <mergeCell ref="C170:E170"/>
    <mergeCell ref="F170:H170"/>
    <mergeCell ref="B185:B186"/>
    <mergeCell ref="H185:H186"/>
    <mergeCell ref="G185:G186"/>
    <mergeCell ref="E185:E186"/>
    <mergeCell ref="B180:B181"/>
    <mergeCell ref="H180:H181"/>
    <mergeCell ref="G180:G181"/>
    <mergeCell ref="E180:E181"/>
    <mergeCell ref="F180:F181"/>
    <mergeCell ref="C180:C181"/>
    <mergeCell ref="D180:D181"/>
    <mergeCell ref="C185:C186"/>
    <mergeCell ref="D185:D186"/>
    <mergeCell ref="F175:F176"/>
    <mergeCell ref="F185:F186"/>
    <mergeCell ref="L192:N192"/>
    <mergeCell ref="A201:G201"/>
    <mergeCell ref="A203:A205"/>
    <mergeCell ref="B203:B205"/>
    <mergeCell ref="C203:E203"/>
    <mergeCell ref="F203:H203"/>
    <mergeCell ref="I203:K203"/>
    <mergeCell ref="L203:N203"/>
    <mergeCell ref="A190:H190"/>
    <mergeCell ref="A192:A194"/>
    <mergeCell ref="B192:B194"/>
    <mergeCell ref="C192:E192"/>
    <mergeCell ref="F192:H192"/>
    <mergeCell ref="I192:K192"/>
    <mergeCell ref="L261:N261"/>
    <mergeCell ref="A273:G273"/>
    <mergeCell ref="A274:A276"/>
    <mergeCell ref="B274:B276"/>
    <mergeCell ref="C274:E274"/>
    <mergeCell ref="F274:H274"/>
    <mergeCell ref="I274:K274"/>
    <mergeCell ref="A259:G259"/>
    <mergeCell ref="A261:A263"/>
    <mergeCell ref="B261:B263"/>
    <mergeCell ref="C261:E261"/>
    <mergeCell ref="F261:H261"/>
    <mergeCell ref="I261:K261"/>
    <mergeCell ref="I311:K311"/>
    <mergeCell ref="A296:H296"/>
    <mergeCell ref="A298:A300"/>
    <mergeCell ref="B298:B300"/>
    <mergeCell ref="C298:E298"/>
    <mergeCell ref="F298:H298"/>
    <mergeCell ref="L298:N298"/>
    <mergeCell ref="A283:G283"/>
    <mergeCell ref="A285:A287"/>
    <mergeCell ref="B285:B287"/>
    <mergeCell ref="C285:E285"/>
    <mergeCell ref="F285:H285"/>
    <mergeCell ref="I285:K285"/>
    <mergeCell ref="I298:K298"/>
    <mergeCell ref="A309:G309"/>
    <mergeCell ref="A311:A313"/>
    <mergeCell ref="B311:B313"/>
    <mergeCell ref="C311:E311"/>
    <mergeCell ref="F311:H311"/>
    <mergeCell ref="A236:K236"/>
    <mergeCell ref="A237:A239"/>
    <mergeCell ref="B237:B239"/>
    <mergeCell ref="C237:E237"/>
    <mergeCell ref="C244:C245"/>
    <mergeCell ref="D244:D245"/>
    <mergeCell ref="E244:E245"/>
    <mergeCell ref="A227:I227"/>
    <mergeCell ref="A229:A231"/>
    <mergeCell ref="B229:B231"/>
    <mergeCell ref="C229:E229"/>
    <mergeCell ref="F229:H229"/>
    <mergeCell ref="I229:K229"/>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U96"/>
  <sheetViews>
    <sheetView topLeftCell="E1" workbookViewId="0">
      <selection activeCell="Q8" sqref="Q8:S19"/>
    </sheetView>
  </sheetViews>
  <sheetFormatPr defaultRowHeight="15" x14ac:dyDescent="0.25"/>
  <cols>
    <col min="4" max="4" width="36.7109375" bestFit="1" customWidth="1"/>
    <col min="5" max="5" width="4.85546875" bestFit="1" customWidth="1"/>
    <col min="8" max="8" width="10.7109375" bestFit="1" customWidth="1"/>
    <col min="9" max="9" width="13.28515625" customWidth="1"/>
    <col min="10" max="12" width="9.85546875" bestFit="1" customWidth="1"/>
  </cols>
  <sheetData>
    <row r="3" spans="3:19" x14ac:dyDescent="0.25">
      <c r="G3" s="180" t="s">
        <v>380</v>
      </c>
    </row>
    <row r="4" spans="3:19" x14ac:dyDescent="0.25">
      <c r="C4" s="144">
        <v>5</v>
      </c>
      <c r="D4" s="970" t="s">
        <v>203</v>
      </c>
      <c r="E4" s="971"/>
      <c r="F4" s="971"/>
      <c r="G4" s="971"/>
      <c r="H4" s="972"/>
      <c r="I4" s="126">
        <v>1</v>
      </c>
      <c r="J4" s="133">
        <v>60000</v>
      </c>
      <c r="K4" s="134">
        <f>I4*J4</f>
        <v>60000</v>
      </c>
      <c r="L4" s="143"/>
    </row>
    <row r="5" spans="3:19" x14ac:dyDescent="0.25">
      <c r="C5" s="144">
        <v>6</v>
      </c>
      <c r="D5" s="970" t="s">
        <v>204</v>
      </c>
      <c r="E5" s="971"/>
      <c r="F5" s="971"/>
      <c r="G5" s="971"/>
      <c r="H5" s="972"/>
      <c r="I5" s="126">
        <v>1</v>
      </c>
      <c r="J5" s="133">
        <v>221879.8</v>
      </c>
      <c r="K5" s="134">
        <f>I5*J5</f>
        <v>221879.8</v>
      </c>
      <c r="L5" s="143"/>
    </row>
    <row r="6" spans="3:19" ht="16.149999999999999" customHeight="1" x14ac:dyDescent="0.25"/>
    <row r="7" spans="3:19" x14ac:dyDescent="0.25">
      <c r="C7" s="181">
        <v>1</v>
      </c>
      <c r="D7" s="182" t="s">
        <v>205</v>
      </c>
      <c r="E7" s="183" t="s">
        <v>239</v>
      </c>
      <c r="F7" s="163">
        <v>150</v>
      </c>
      <c r="G7" s="184">
        <v>46.29</v>
      </c>
      <c r="H7" s="185">
        <f>F7*G7</f>
        <v>6943.5</v>
      </c>
      <c r="J7">
        <v>81552.899999999994</v>
      </c>
    </row>
    <row r="8" spans="3:19" ht="48" x14ac:dyDescent="0.25">
      <c r="C8" s="181">
        <v>2</v>
      </c>
      <c r="D8" s="182" t="s">
        <v>206</v>
      </c>
      <c r="E8" s="183" t="s">
        <v>239</v>
      </c>
      <c r="F8" s="163">
        <v>200</v>
      </c>
      <c r="G8" s="184">
        <v>66.87</v>
      </c>
      <c r="H8" s="185">
        <f t="shared" ref="H8:H30" si="0">F8*G8</f>
        <v>13374</v>
      </c>
      <c r="O8" s="187">
        <v>3</v>
      </c>
      <c r="P8" s="188" t="s">
        <v>207</v>
      </c>
      <c r="Q8" s="189">
        <v>20</v>
      </c>
      <c r="R8" s="190">
        <v>18.489999999999998</v>
      </c>
      <c r="S8" s="191">
        <v>369.8</v>
      </c>
    </row>
    <row r="9" spans="3:19" ht="60" x14ac:dyDescent="0.25">
      <c r="C9" s="181">
        <v>4</v>
      </c>
      <c r="D9" s="182" t="s">
        <v>208</v>
      </c>
      <c r="E9" s="183" t="s">
        <v>239</v>
      </c>
      <c r="F9" s="163">
        <v>10</v>
      </c>
      <c r="G9" s="184">
        <v>89.1</v>
      </c>
      <c r="H9" s="185">
        <f t="shared" si="0"/>
        <v>891</v>
      </c>
      <c r="O9" s="192">
        <v>7</v>
      </c>
      <c r="P9" s="193" t="s">
        <v>211</v>
      </c>
      <c r="Q9" s="194">
        <v>20</v>
      </c>
      <c r="R9" s="195">
        <v>514.19000000000005</v>
      </c>
      <c r="S9" s="196">
        <v>10283.799999999999</v>
      </c>
    </row>
    <row r="10" spans="3:19" ht="60" x14ac:dyDescent="0.25">
      <c r="C10" s="181">
        <v>5</v>
      </c>
      <c r="D10" s="186" t="s">
        <v>209</v>
      </c>
      <c r="E10" s="183" t="s">
        <v>239</v>
      </c>
      <c r="F10" s="163">
        <v>10</v>
      </c>
      <c r="G10" s="184">
        <v>62.89</v>
      </c>
      <c r="H10" s="185">
        <f t="shared" si="0"/>
        <v>628.9</v>
      </c>
      <c r="O10" s="192">
        <v>15</v>
      </c>
      <c r="P10" s="193" t="s">
        <v>219</v>
      </c>
      <c r="Q10" s="194">
        <v>180</v>
      </c>
      <c r="R10" s="195">
        <v>138.87</v>
      </c>
      <c r="S10" s="196">
        <v>24996.6</v>
      </c>
    </row>
    <row r="11" spans="3:19" ht="60" x14ac:dyDescent="0.25">
      <c r="C11" s="181">
        <v>6</v>
      </c>
      <c r="D11" s="186" t="s">
        <v>210</v>
      </c>
      <c r="E11" s="183" t="s">
        <v>239</v>
      </c>
      <c r="F11" s="163">
        <v>20</v>
      </c>
      <c r="G11" s="184">
        <v>84.36</v>
      </c>
      <c r="H11" s="185">
        <f t="shared" si="0"/>
        <v>1687.2</v>
      </c>
      <c r="O11" s="192">
        <v>18</v>
      </c>
      <c r="P11" s="193" t="s">
        <v>221</v>
      </c>
      <c r="Q11" s="194">
        <v>156</v>
      </c>
      <c r="R11" s="195">
        <v>57.92</v>
      </c>
      <c r="S11" s="196">
        <v>9035.52</v>
      </c>
    </row>
    <row r="12" spans="3:19" ht="48" x14ac:dyDescent="0.25">
      <c r="C12" s="181">
        <v>8</v>
      </c>
      <c r="D12" s="186" t="s">
        <v>212</v>
      </c>
      <c r="E12" s="183" t="s">
        <v>239</v>
      </c>
      <c r="F12" s="163">
        <v>40</v>
      </c>
      <c r="G12" s="184">
        <v>50.41</v>
      </c>
      <c r="H12" s="185">
        <f t="shared" si="0"/>
        <v>2016.3999999999999</v>
      </c>
      <c r="O12" s="192">
        <v>23</v>
      </c>
      <c r="P12" s="193" t="s">
        <v>226</v>
      </c>
      <c r="Q12" s="194">
        <v>1</v>
      </c>
      <c r="R12" s="195">
        <v>691.79</v>
      </c>
      <c r="S12" s="196">
        <v>691.79</v>
      </c>
    </row>
    <row r="13" spans="3:19" ht="36" x14ac:dyDescent="0.25">
      <c r="C13" s="181">
        <v>9</v>
      </c>
      <c r="D13" s="186" t="s">
        <v>213</v>
      </c>
      <c r="E13" s="183" t="s">
        <v>239</v>
      </c>
      <c r="F13" s="163">
        <v>150</v>
      </c>
      <c r="G13" s="184">
        <v>41.14</v>
      </c>
      <c r="H13" s="185">
        <f t="shared" si="0"/>
        <v>6171</v>
      </c>
      <c r="O13" s="192">
        <v>25</v>
      </c>
      <c r="P13" s="193" t="s">
        <v>228</v>
      </c>
      <c r="Q13" s="194">
        <v>8</v>
      </c>
      <c r="R13" s="196">
        <v>1703.93</v>
      </c>
      <c r="S13" s="196">
        <v>13631.44</v>
      </c>
    </row>
    <row r="14" spans="3:19" ht="60" x14ac:dyDescent="0.25">
      <c r="C14" s="181">
        <v>10</v>
      </c>
      <c r="D14" s="186" t="s">
        <v>214</v>
      </c>
      <c r="E14" s="183" t="s">
        <v>239</v>
      </c>
      <c r="F14" s="163">
        <v>15</v>
      </c>
      <c r="G14" s="184">
        <v>66.87</v>
      </c>
      <c r="H14" s="185">
        <f t="shared" si="0"/>
        <v>1003.0500000000001</v>
      </c>
      <c r="O14" s="192">
        <v>27</v>
      </c>
      <c r="P14" s="193" t="s">
        <v>230</v>
      </c>
      <c r="Q14" s="194">
        <v>10</v>
      </c>
      <c r="R14" s="195">
        <v>157.22999999999999</v>
      </c>
      <c r="S14" s="196">
        <v>1572.3</v>
      </c>
    </row>
    <row r="15" spans="3:19" ht="60" x14ac:dyDescent="0.25">
      <c r="C15" s="181">
        <v>11</v>
      </c>
      <c r="D15" s="186" t="s">
        <v>215</v>
      </c>
      <c r="E15" s="183" t="s">
        <v>239</v>
      </c>
      <c r="F15" s="163">
        <v>10</v>
      </c>
      <c r="G15" s="184">
        <v>544.19000000000005</v>
      </c>
      <c r="H15" s="185">
        <f t="shared" si="0"/>
        <v>5441.9000000000005</v>
      </c>
      <c r="O15" s="192">
        <v>31</v>
      </c>
      <c r="P15" s="193" t="s">
        <v>234</v>
      </c>
      <c r="Q15" s="194">
        <v>1</v>
      </c>
      <c r="R15" s="196">
        <v>5659.53</v>
      </c>
      <c r="S15" s="196">
        <v>5659.53</v>
      </c>
    </row>
    <row r="16" spans="3:19" ht="48" x14ac:dyDescent="0.25">
      <c r="C16" s="181">
        <v>12</v>
      </c>
      <c r="D16" s="186" t="s">
        <v>216</v>
      </c>
      <c r="E16" s="183" t="s">
        <v>239</v>
      </c>
      <c r="F16" s="163">
        <v>20</v>
      </c>
      <c r="G16" s="184">
        <v>133.72999999999999</v>
      </c>
      <c r="H16" s="185">
        <f t="shared" si="0"/>
        <v>2674.6</v>
      </c>
      <c r="O16" s="192">
        <v>32</v>
      </c>
      <c r="P16" s="193" t="s">
        <v>235</v>
      </c>
      <c r="Q16" s="194">
        <v>4</v>
      </c>
      <c r="R16" s="195">
        <v>37.145000000000003</v>
      </c>
      <c r="S16" s="196">
        <v>148.58000000000001</v>
      </c>
    </row>
    <row r="17" spans="3:19" ht="72" x14ac:dyDescent="0.25">
      <c r="C17" s="181">
        <v>13</v>
      </c>
      <c r="D17" s="186" t="s">
        <v>217</v>
      </c>
      <c r="E17" s="183" t="s">
        <v>239</v>
      </c>
      <c r="F17" s="163">
        <v>5</v>
      </c>
      <c r="G17" s="184">
        <v>160.47999999999999</v>
      </c>
      <c r="H17" s="185">
        <f t="shared" si="0"/>
        <v>802.4</v>
      </c>
      <c r="I17" s="164" t="e">
        <f>#REF!-81552.9</f>
        <v>#REF!</v>
      </c>
      <c r="O17" s="192">
        <v>34</v>
      </c>
      <c r="P17" s="193" t="s">
        <v>382</v>
      </c>
      <c r="Q17" s="194">
        <v>100</v>
      </c>
      <c r="R17" s="195">
        <v>333.32</v>
      </c>
      <c r="S17" s="196">
        <v>33332</v>
      </c>
    </row>
    <row r="18" spans="3:19" ht="60" x14ac:dyDescent="0.25">
      <c r="C18" s="181">
        <v>14</v>
      </c>
      <c r="D18" s="186" t="s">
        <v>218</v>
      </c>
      <c r="E18" s="183" t="s">
        <v>239</v>
      </c>
      <c r="F18" s="163">
        <v>200</v>
      </c>
      <c r="G18" s="184">
        <v>68.930000000000007</v>
      </c>
      <c r="H18" s="185">
        <f t="shared" si="0"/>
        <v>13786.000000000002</v>
      </c>
      <c r="O18" s="192">
        <v>35</v>
      </c>
      <c r="P18" s="193" t="s">
        <v>237</v>
      </c>
      <c r="Q18" s="194">
        <v>50</v>
      </c>
      <c r="R18" s="195">
        <v>318.64999999999998</v>
      </c>
      <c r="S18" s="196">
        <v>15932.5</v>
      </c>
    </row>
    <row r="19" spans="3:19" ht="72" x14ac:dyDescent="0.25">
      <c r="C19" s="181">
        <v>16</v>
      </c>
      <c r="D19" s="182" t="s">
        <v>220</v>
      </c>
      <c r="E19" s="183" t="s">
        <v>239</v>
      </c>
      <c r="F19" s="163">
        <v>10</v>
      </c>
      <c r="G19" s="184">
        <v>169.8</v>
      </c>
      <c r="H19" s="185">
        <f t="shared" si="0"/>
        <v>1698</v>
      </c>
      <c r="O19" s="192">
        <v>36</v>
      </c>
      <c r="P19" s="193" t="s">
        <v>238</v>
      </c>
      <c r="Q19" s="194">
        <v>10</v>
      </c>
      <c r="R19" s="196">
        <v>2467.19</v>
      </c>
      <c r="S19" s="196">
        <v>24671.9</v>
      </c>
    </row>
    <row r="20" spans="3:19" ht="24" x14ac:dyDescent="0.25">
      <c r="C20" s="181">
        <v>17</v>
      </c>
      <c r="D20" s="182" t="s">
        <v>381</v>
      </c>
      <c r="E20" s="183" t="s">
        <v>239</v>
      </c>
      <c r="F20" s="163">
        <v>30</v>
      </c>
      <c r="G20" s="184">
        <v>154.46</v>
      </c>
      <c r="H20" s="185">
        <f t="shared" si="0"/>
        <v>4633.8</v>
      </c>
    </row>
    <row r="21" spans="3:19" x14ac:dyDescent="0.25">
      <c r="C21" s="181">
        <v>19</v>
      </c>
      <c r="D21" s="182" t="s">
        <v>222</v>
      </c>
      <c r="E21" s="183" t="s">
        <v>239</v>
      </c>
      <c r="F21" s="163">
        <v>1</v>
      </c>
      <c r="G21" s="185">
        <v>1802.02</v>
      </c>
      <c r="H21" s="185">
        <f t="shared" si="0"/>
        <v>1802.02</v>
      </c>
    </row>
    <row r="22" spans="3:19" ht="25.5" x14ac:dyDescent="0.25">
      <c r="C22" s="181">
        <v>20</v>
      </c>
      <c r="D22" s="186" t="s">
        <v>223</v>
      </c>
      <c r="E22" s="183" t="s">
        <v>240</v>
      </c>
      <c r="F22" s="163">
        <v>1</v>
      </c>
      <c r="G22" s="184">
        <v>112.03</v>
      </c>
      <c r="H22" s="185">
        <f t="shared" si="0"/>
        <v>112.03</v>
      </c>
    </row>
    <row r="23" spans="3:19" x14ac:dyDescent="0.25">
      <c r="C23" s="181">
        <v>21</v>
      </c>
      <c r="D23" s="186" t="s">
        <v>224</v>
      </c>
      <c r="E23" s="183" t="s">
        <v>239</v>
      </c>
      <c r="F23" s="163">
        <v>2</v>
      </c>
      <c r="G23" s="185">
        <v>1383.59</v>
      </c>
      <c r="H23" s="185">
        <f t="shared" si="0"/>
        <v>2767.18</v>
      </c>
    </row>
    <row r="24" spans="3:19" x14ac:dyDescent="0.25">
      <c r="C24" s="181">
        <v>22</v>
      </c>
      <c r="D24" s="186" t="s">
        <v>225</v>
      </c>
      <c r="E24" s="183" t="s">
        <v>239</v>
      </c>
      <c r="F24" s="163">
        <v>2</v>
      </c>
      <c r="G24" s="184">
        <v>503.13</v>
      </c>
      <c r="H24" s="185">
        <f t="shared" si="0"/>
        <v>1006.26</v>
      </c>
    </row>
    <row r="25" spans="3:19" x14ac:dyDescent="0.25">
      <c r="C25" s="181">
        <v>24</v>
      </c>
      <c r="D25" s="186" t="s">
        <v>227</v>
      </c>
      <c r="E25" s="183" t="s">
        <v>239</v>
      </c>
      <c r="F25" s="163">
        <v>1</v>
      </c>
      <c r="G25" s="185">
        <v>1949.6</v>
      </c>
      <c r="H25" s="185">
        <f t="shared" si="0"/>
        <v>1949.6</v>
      </c>
    </row>
    <row r="26" spans="3:19" x14ac:dyDescent="0.25">
      <c r="C26" s="181">
        <v>26</v>
      </c>
      <c r="D26" s="186" t="s">
        <v>229</v>
      </c>
      <c r="E26" s="183" t="s">
        <v>239</v>
      </c>
      <c r="F26" s="163">
        <v>200</v>
      </c>
      <c r="G26" s="184">
        <v>15.43</v>
      </c>
      <c r="H26" s="185">
        <f t="shared" si="0"/>
        <v>3086</v>
      </c>
    </row>
    <row r="27" spans="3:19" x14ac:dyDescent="0.25">
      <c r="C27" s="181">
        <v>28</v>
      </c>
      <c r="D27" s="186" t="s">
        <v>231</v>
      </c>
      <c r="E27" s="183" t="s">
        <v>239</v>
      </c>
      <c r="F27" s="163">
        <v>300</v>
      </c>
      <c r="G27" s="184">
        <v>12.497</v>
      </c>
      <c r="H27" s="185">
        <f t="shared" si="0"/>
        <v>3749.1</v>
      </c>
      <c r="J27" s="164" t="e">
        <f>#REF!-#REF!</f>
        <v>#REF!</v>
      </c>
    </row>
    <row r="28" spans="3:19" ht="24" x14ac:dyDescent="0.25">
      <c r="C28" s="181">
        <v>29</v>
      </c>
      <c r="D28" s="186" t="s">
        <v>232</v>
      </c>
      <c r="E28" s="183" t="s">
        <v>239</v>
      </c>
      <c r="F28" s="163">
        <v>20</v>
      </c>
      <c r="G28" s="184">
        <v>62.89</v>
      </c>
      <c r="H28" s="185">
        <f t="shared" si="0"/>
        <v>1257.8</v>
      </c>
    </row>
    <row r="29" spans="3:19" x14ac:dyDescent="0.25">
      <c r="C29" s="181">
        <v>30</v>
      </c>
      <c r="D29" s="186" t="s">
        <v>233</v>
      </c>
      <c r="E29" s="183" t="s">
        <v>239</v>
      </c>
      <c r="F29" s="163">
        <v>8</v>
      </c>
      <c r="G29" s="184">
        <v>76.52</v>
      </c>
      <c r="H29" s="185">
        <f t="shared" si="0"/>
        <v>612.16</v>
      </c>
    </row>
    <row r="30" spans="3:19" x14ac:dyDescent="0.25">
      <c r="C30" s="181">
        <v>33</v>
      </c>
      <c r="D30" s="186" t="s">
        <v>236</v>
      </c>
      <c r="E30" s="183" t="s">
        <v>239</v>
      </c>
      <c r="F30" s="163">
        <v>10</v>
      </c>
      <c r="G30" s="184">
        <v>345.9</v>
      </c>
      <c r="H30" s="185">
        <f t="shared" si="0"/>
        <v>3459</v>
      </c>
    </row>
    <row r="31" spans="3:19" x14ac:dyDescent="0.25">
      <c r="F31" s="164" t="e">
        <f>#REF!+#REF!+#REF!+#REF!+H30+#REF!+H29+H28+H27</f>
        <v>#REF!</v>
      </c>
      <c r="H31" s="164">
        <f>SUM(H7:H30)</f>
        <v>81552.900000000009</v>
      </c>
      <c r="I31" s="164">
        <f>H31-J7</f>
        <v>0</v>
      </c>
      <c r="K31" s="164">
        <f>H27-I31</f>
        <v>3749.1</v>
      </c>
    </row>
    <row r="32" spans="3:19" x14ac:dyDescent="0.25">
      <c r="F32" s="164" t="e">
        <f>F31-82552.9</f>
        <v>#REF!</v>
      </c>
    </row>
    <row r="33" spans="3:21" x14ac:dyDescent="0.25">
      <c r="J33" s="164">
        <f>SUBTOTAL(9,H9:H30)</f>
        <v>61235.400000000009</v>
      </c>
    </row>
    <row r="44" spans="3:21" x14ac:dyDescent="0.25">
      <c r="C44" s="187">
        <v>3</v>
      </c>
      <c r="D44" s="188" t="s">
        <v>207</v>
      </c>
      <c r="E44" s="189" t="s">
        <v>239</v>
      </c>
      <c r="F44" s="189">
        <v>20</v>
      </c>
      <c r="G44" s="190">
        <v>18.489999999999998</v>
      </c>
      <c r="H44" s="191">
        <v>369.8</v>
      </c>
    </row>
    <row r="45" spans="3:21" ht="25.5" x14ac:dyDescent="0.25">
      <c r="C45" s="192">
        <v>7</v>
      </c>
      <c r="D45" s="193" t="s">
        <v>211</v>
      </c>
      <c r="E45" s="194" t="s">
        <v>240</v>
      </c>
      <c r="F45" s="194">
        <v>20</v>
      </c>
      <c r="G45" s="195">
        <v>514.19000000000005</v>
      </c>
      <c r="H45" s="196">
        <v>10283.799999999999</v>
      </c>
    </row>
    <row r="46" spans="3:21" ht="67.5" x14ac:dyDescent="0.25">
      <c r="C46" s="192">
        <v>15</v>
      </c>
      <c r="D46" s="193" t="s">
        <v>219</v>
      </c>
      <c r="E46" s="194" t="s">
        <v>240</v>
      </c>
      <c r="F46" s="194">
        <v>180</v>
      </c>
      <c r="G46" s="195">
        <v>138.87</v>
      </c>
      <c r="H46" s="196">
        <v>24996.6</v>
      </c>
      <c r="N46" s="99">
        <v>1</v>
      </c>
      <c r="O46" s="158" t="s">
        <v>190</v>
      </c>
      <c r="P46" s="159"/>
      <c r="Q46" s="159"/>
      <c r="R46" s="159"/>
      <c r="S46" s="100">
        <v>1</v>
      </c>
      <c r="T46" s="101">
        <v>21222</v>
      </c>
      <c r="U46" s="160">
        <f t="shared" ref="U46:U56" si="1">S46*T46</f>
        <v>21222</v>
      </c>
    </row>
    <row r="47" spans="3:21" ht="27" x14ac:dyDescent="0.25">
      <c r="C47" s="192">
        <v>18</v>
      </c>
      <c r="D47" s="193" t="s">
        <v>221</v>
      </c>
      <c r="E47" s="194" t="s">
        <v>239</v>
      </c>
      <c r="F47" s="194">
        <v>156</v>
      </c>
      <c r="G47" s="195">
        <v>57.92</v>
      </c>
      <c r="H47" s="196">
        <v>9035.52</v>
      </c>
      <c r="N47" s="99">
        <f>N46+1</f>
        <v>2</v>
      </c>
      <c r="O47" s="158" t="s">
        <v>79</v>
      </c>
      <c r="P47" s="159"/>
      <c r="Q47" s="159"/>
      <c r="R47" s="159"/>
      <c r="S47" s="102">
        <v>20</v>
      </c>
      <c r="T47" s="101">
        <v>307</v>
      </c>
      <c r="U47" s="160">
        <f t="shared" si="1"/>
        <v>6140</v>
      </c>
    </row>
    <row r="48" spans="3:21" x14ac:dyDescent="0.25">
      <c r="C48" s="192">
        <v>23</v>
      </c>
      <c r="D48" s="193" t="s">
        <v>226</v>
      </c>
      <c r="E48" s="194" t="s">
        <v>239</v>
      </c>
      <c r="F48" s="194">
        <v>1</v>
      </c>
      <c r="G48" s="195">
        <v>691.79</v>
      </c>
      <c r="H48" s="196">
        <v>691.79</v>
      </c>
      <c r="N48" s="99">
        <f t="shared" ref="N48:N80" si="2">N47+1</f>
        <v>3</v>
      </c>
      <c r="O48" s="204" t="s">
        <v>191</v>
      </c>
      <c r="P48" s="205"/>
      <c r="Q48" s="205"/>
      <c r="R48" s="205"/>
      <c r="S48" s="103">
        <v>1</v>
      </c>
      <c r="T48" s="104">
        <v>30626.959999999999</v>
      </c>
      <c r="U48" s="160">
        <f t="shared" si="1"/>
        <v>30626.959999999999</v>
      </c>
    </row>
    <row r="49" spans="3:21" x14ac:dyDescent="0.25">
      <c r="C49" s="192">
        <v>25</v>
      </c>
      <c r="D49" s="193" t="s">
        <v>228</v>
      </c>
      <c r="E49" s="194" t="s">
        <v>239</v>
      </c>
      <c r="F49" s="194">
        <v>8</v>
      </c>
      <c r="G49" s="196">
        <v>1703.93</v>
      </c>
      <c r="H49" s="196">
        <v>13631.44</v>
      </c>
      <c r="N49" s="99">
        <f t="shared" si="2"/>
        <v>4</v>
      </c>
      <c r="O49" s="161" t="s">
        <v>151</v>
      </c>
      <c r="P49" s="162"/>
      <c r="Q49" s="162"/>
      <c r="R49" s="162"/>
      <c r="S49" s="147">
        <v>1</v>
      </c>
      <c r="T49" s="148">
        <v>45000</v>
      </c>
      <c r="U49" s="149">
        <f t="shared" si="1"/>
        <v>45000</v>
      </c>
    </row>
    <row r="50" spans="3:21" ht="27" x14ac:dyDescent="0.25">
      <c r="C50" s="192">
        <v>27</v>
      </c>
      <c r="D50" s="193" t="s">
        <v>230</v>
      </c>
      <c r="E50" s="194" t="s">
        <v>239</v>
      </c>
      <c r="F50" s="194">
        <v>10</v>
      </c>
      <c r="G50" s="195">
        <v>157.22999999999999</v>
      </c>
      <c r="H50" s="196">
        <v>1572.3</v>
      </c>
      <c r="N50" s="99">
        <f t="shared" si="2"/>
        <v>5</v>
      </c>
      <c r="O50" s="154" t="s">
        <v>192</v>
      </c>
      <c r="P50" s="155"/>
      <c r="Q50" s="155"/>
      <c r="R50" s="155"/>
      <c r="S50" s="105">
        <v>40</v>
      </c>
      <c r="T50" s="106">
        <v>87.795500000000004</v>
      </c>
      <c r="U50" s="160">
        <f t="shared" si="1"/>
        <v>3511.82</v>
      </c>
    </row>
    <row r="51" spans="3:21" ht="54" x14ac:dyDescent="0.25">
      <c r="C51" s="192">
        <v>31</v>
      </c>
      <c r="D51" s="193" t="s">
        <v>234</v>
      </c>
      <c r="E51" s="194" t="s">
        <v>241</v>
      </c>
      <c r="F51" s="194">
        <v>1</v>
      </c>
      <c r="G51" s="196">
        <v>5659.53</v>
      </c>
      <c r="H51" s="196">
        <v>5659.53</v>
      </c>
      <c r="N51" s="99">
        <f t="shared" si="2"/>
        <v>6</v>
      </c>
      <c r="O51" s="154" t="s">
        <v>193</v>
      </c>
      <c r="P51" s="155"/>
      <c r="Q51" s="155"/>
      <c r="R51" s="155"/>
      <c r="S51" s="105">
        <v>10</v>
      </c>
      <c r="T51" s="106">
        <v>804.13599999999997</v>
      </c>
      <c r="U51" s="160">
        <f t="shared" si="1"/>
        <v>8041.36</v>
      </c>
    </row>
    <row r="52" spans="3:21" ht="40.5" x14ac:dyDescent="0.25">
      <c r="C52" s="192">
        <v>32</v>
      </c>
      <c r="D52" s="193" t="s">
        <v>235</v>
      </c>
      <c r="E52" s="194" t="s">
        <v>239</v>
      </c>
      <c r="F52" s="194">
        <v>4</v>
      </c>
      <c r="G52" s="195">
        <v>37.145000000000003</v>
      </c>
      <c r="H52" s="196">
        <v>148.58000000000001</v>
      </c>
      <c r="N52" s="99">
        <f t="shared" si="2"/>
        <v>7</v>
      </c>
      <c r="O52" s="154" t="s">
        <v>194</v>
      </c>
      <c r="P52" s="155"/>
      <c r="Q52" s="155"/>
      <c r="R52" s="155"/>
      <c r="S52" s="105">
        <v>200</v>
      </c>
      <c r="T52" s="106">
        <v>109.9</v>
      </c>
      <c r="U52" s="160">
        <f t="shared" si="1"/>
        <v>21980</v>
      </c>
    </row>
    <row r="53" spans="3:21" ht="81" x14ac:dyDescent="0.25">
      <c r="C53" s="192">
        <v>34</v>
      </c>
      <c r="D53" s="193" t="s">
        <v>382</v>
      </c>
      <c r="E53" s="194" t="s">
        <v>242</v>
      </c>
      <c r="F53" s="194">
        <v>100</v>
      </c>
      <c r="G53" s="195">
        <v>333.32</v>
      </c>
      <c r="H53" s="196">
        <v>33332</v>
      </c>
      <c r="N53" s="99">
        <f t="shared" si="2"/>
        <v>8</v>
      </c>
      <c r="O53" s="150" t="s">
        <v>195</v>
      </c>
      <c r="P53" s="151"/>
      <c r="Q53" s="151"/>
      <c r="R53" s="151"/>
      <c r="S53" s="145">
        <v>816</v>
      </c>
      <c r="T53" s="146">
        <v>36.06</v>
      </c>
      <c r="U53" s="149">
        <f t="shared" si="1"/>
        <v>29424.960000000003</v>
      </c>
    </row>
    <row r="54" spans="3:21" ht="94.5" x14ac:dyDescent="0.25">
      <c r="C54" s="192">
        <v>35</v>
      </c>
      <c r="D54" s="193" t="s">
        <v>237</v>
      </c>
      <c r="E54" s="194" t="s">
        <v>242</v>
      </c>
      <c r="F54" s="194">
        <v>50</v>
      </c>
      <c r="G54" s="195">
        <v>318.64999999999998</v>
      </c>
      <c r="H54" s="196">
        <v>15932.5</v>
      </c>
      <c r="N54" s="99">
        <f t="shared" si="2"/>
        <v>9</v>
      </c>
      <c r="O54" s="150" t="s">
        <v>196</v>
      </c>
      <c r="P54" s="151"/>
      <c r="Q54" s="151"/>
      <c r="R54" s="151"/>
      <c r="S54" s="145">
        <v>408</v>
      </c>
      <c r="T54" s="146">
        <v>44.64</v>
      </c>
      <c r="U54" s="149">
        <f t="shared" si="1"/>
        <v>18213.12</v>
      </c>
    </row>
    <row r="55" spans="3:21" ht="27" x14ac:dyDescent="0.25">
      <c r="C55" s="192">
        <v>36</v>
      </c>
      <c r="D55" s="193" t="s">
        <v>238</v>
      </c>
      <c r="E55" s="194" t="s">
        <v>239</v>
      </c>
      <c r="F55" s="194">
        <v>10</v>
      </c>
      <c r="G55" s="196">
        <v>2467.19</v>
      </c>
      <c r="H55" s="196">
        <v>24671.9</v>
      </c>
      <c r="N55" s="99">
        <f t="shared" si="2"/>
        <v>10</v>
      </c>
      <c r="O55" s="152" t="s">
        <v>197</v>
      </c>
      <c r="P55" s="153"/>
      <c r="Q55" s="153"/>
      <c r="R55" s="153"/>
      <c r="S55" s="145">
        <v>22.03</v>
      </c>
      <c r="T55" s="146">
        <v>212.16</v>
      </c>
      <c r="U55" s="149">
        <f t="shared" si="1"/>
        <v>4673.8847999999998</v>
      </c>
    </row>
    <row r="56" spans="3:21" x14ac:dyDescent="0.25">
      <c r="H56">
        <f>SUBTOTAL(9,H44:H55)</f>
        <v>140325.76000000001</v>
      </c>
      <c r="N56" s="99">
        <f t="shared" si="2"/>
        <v>11</v>
      </c>
      <c r="O56" s="156" t="s">
        <v>198</v>
      </c>
      <c r="P56" s="157"/>
      <c r="Q56" s="157"/>
      <c r="R56" s="157"/>
      <c r="S56" s="147">
        <v>10</v>
      </c>
      <c r="T56" s="148">
        <v>1220</v>
      </c>
      <c r="U56" s="149">
        <f t="shared" si="1"/>
        <v>12200</v>
      </c>
    </row>
    <row r="57" spans="3:21" ht="48" x14ac:dyDescent="0.25">
      <c r="N57" s="99">
        <f t="shared" si="2"/>
        <v>12</v>
      </c>
      <c r="O57" s="182" t="s">
        <v>205</v>
      </c>
      <c r="S57" s="197">
        <v>150</v>
      </c>
      <c r="T57" s="198">
        <v>46.29</v>
      </c>
      <c r="U57" s="199">
        <v>6943.5</v>
      </c>
    </row>
    <row r="58" spans="3:21" ht="72" x14ac:dyDescent="0.25">
      <c r="N58" s="99">
        <f t="shared" si="2"/>
        <v>13</v>
      </c>
      <c r="O58" s="182" t="s">
        <v>206</v>
      </c>
      <c r="S58" s="201">
        <v>200</v>
      </c>
      <c r="T58" s="202">
        <v>66.87</v>
      </c>
      <c r="U58" s="203">
        <v>13374</v>
      </c>
    </row>
    <row r="59" spans="3:21" ht="36" x14ac:dyDescent="0.25">
      <c r="N59" s="99">
        <f t="shared" si="2"/>
        <v>14</v>
      </c>
      <c r="O59" s="182" t="s">
        <v>208</v>
      </c>
      <c r="S59" s="201">
        <v>10</v>
      </c>
      <c r="T59" s="202">
        <v>89.1</v>
      </c>
      <c r="U59" s="203">
        <v>891</v>
      </c>
    </row>
    <row r="60" spans="3:21" ht="48" x14ac:dyDescent="0.25">
      <c r="C60" s="99">
        <v>1</v>
      </c>
      <c r="D60" s="158" t="s">
        <v>190</v>
      </c>
      <c r="E60" s="159"/>
      <c r="F60" s="159"/>
      <c r="G60" s="159"/>
      <c r="H60" s="183" t="s">
        <v>239</v>
      </c>
      <c r="I60" s="100">
        <v>1</v>
      </c>
      <c r="J60" s="101">
        <v>21222</v>
      </c>
      <c r="K60" s="160">
        <f t="shared" ref="K60:K70" si="3">I60*J60</f>
        <v>21222</v>
      </c>
      <c r="N60" s="99">
        <f t="shared" si="2"/>
        <v>15</v>
      </c>
      <c r="O60" s="186" t="s">
        <v>209</v>
      </c>
      <c r="S60" s="201">
        <v>10</v>
      </c>
      <c r="T60" s="202">
        <v>62.89</v>
      </c>
      <c r="U60" s="203">
        <v>628.9</v>
      </c>
    </row>
    <row r="61" spans="3:21" ht="48" x14ac:dyDescent="0.25">
      <c r="C61" s="99">
        <f>C60+1</f>
        <v>2</v>
      </c>
      <c r="D61" s="158" t="s">
        <v>79</v>
      </c>
      <c r="E61" s="159"/>
      <c r="F61" s="159"/>
      <c r="G61" s="159"/>
      <c r="H61" s="200" t="s">
        <v>239</v>
      </c>
      <c r="I61" s="102">
        <v>20</v>
      </c>
      <c r="J61" s="101">
        <v>307</v>
      </c>
      <c r="K61" s="160">
        <f t="shared" si="3"/>
        <v>6140</v>
      </c>
      <c r="N61" s="99">
        <f t="shared" si="2"/>
        <v>16</v>
      </c>
      <c r="O61" s="186" t="s">
        <v>210</v>
      </c>
      <c r="S61" s="201">
        <v>20</v>
      </c>
      <c r="T61" s="202">
        <v>84.36</v>
      </c>
      <c r="U61" s="203">
        <v>1687.2</v>
      </c>
    </row>
    <row r="62" spans="3:21" ht="24" x14ac:dyDescent="0.25">
      <c r="C62" s="99">
        <f t="shared" ref="C62:C94" si="4">C61+1</f>
        <v>3</v>
      </c>
      <c r="D62" s="204" t="s">
        <v>191</v>
      </c>
      <c r="E62" s="205"/>
      <c r="F62" s="205"/>
      <c r="G62" s="205"/>
      <c r="H62" s="200" t="s">
        <v>239</v>
      </c>
      <c r="I62" s="103">
        <v>1</v>
      </c>
      <c r="J62" s="104">
        <v>30626.959999999999</v>
      </c>
      <c r="K62" s="160">
        <f t="shared" si="3"/>
        <v>30626.959999999999</v>
      </c>
      <c r="N62" s="99">
        <f t="shared" si="2"/>
        <v>17</v>
      </c>
      <c r="O62" s="186" t="s">
        <v>212</v>
      </c>
      <c r="S62" s="201">
        <v>40</v>
      </c>
      <c r="T62" s="202">
        <v>50.41</v>
      </c>
      <c r="U62" s="203">
        <v>2016.4</v>
      </c>
    </row>
    <row r="63" spans="3:21" ht="60" x14ac:dyDescent="0.25">
      <c r="C63" s="99">
        <f t="shared" si="4"/>
        <v>4</v>
      </c>
      <c r="D63" s="161" t="s">
        <v>151</v>
      </c>
      <c r="E63" s="162"/>
      <c r="F63" s="162"/>
      <c r="G63" s="162"/>
      <c r="H63" s="200" t="s">
        <v>239</v>
      </c>
      <c r="I63" s="147">
        <v>1</v>
      </c>
      <c r="J63" s="148">
        <v>45000</v>
      </c>
      <c r="K63" s="149">
        <f t="shared" si="3"/>
        <v>45000</v>
      </c>
      <c r="N63" s="99">
        <f t="shared" si="2"/>
        <v>18</v>
      </c>
      <c r="O63" s="186" t="s">
        <v>213</v>
      </c>
      <c r="S63" s="201">
        <v>150</v>
      </c>
      <c r="T63" s="202">
        <v>41.14</v>
      </c>
      <c r="U63" s="203">
        <v>6171</v>
      </c>
    </row>
    <row r="64" spans="3:21" ht="48" x14ac:dyDescent="0.25">
      <c r="C64" s="99">
        <f t="shared" si="4"/>
        <v>5</v>
      </c>
      <c r="D64" s="154" t="s">
        <v>192</v>
      </c>
      <c r="E64" s="155"/>
      <c r="F64" s="155"/>
      <c r="G64" s="155"/>
      <c r="H64" s="200" t="s">
        <v>239</v>
      </c>
      <c r="I64" s="105">
        <v>40</v>
      </c>
      <c r="J64" s="106">
        <v>87.795500000000004</v>
      </c>
      <c r="K64" s="160">
        <f t="shared" si="3"/>
        <v>3511.82</v>
      </c>
      <c r="N64" s="99">
        <f t="shared" si="2"/>
        <v>19</v>
      </c>
      <c r="O64" s="186" t="s">
        <v>214</v>
      </c>
      <c r="S64" s="201">
        <v>15</v>
      </c>
      <c r="T64" s="202">
        <v>66.87</v>
      </c>
      <c r="U64" s="203">
        <v>1003.05</v>
      </c>
    </row>
    <row r="65" spans="3:21" ht="60" x14ac:dyDescent="0.25">
      <c r="C65" s="99">
        <f t="shared" si="4"/>
        <v>6</v>
      </c>
      <c r="D65" s="154" t="s">
        <v>193</v>
      </c>
      <c r="E65" s="155"/>
      <c r="F65" s="155"/>
      <c r="G65" s="155"/>
      <c r="H65" s="200" t="s">
        <v>239</v>
      </c>
      <c r="I65" s="105">
        <v>10</v>
      </c>
      <c r="J65" s="106">
        <v>804.13599999999997</v>
      </c>
      <c r="K65" s="160">
        <f t="shared" si="3"/>
        <v>8041.36</v>
      </c>
      <c r="N65" s="99">
        <f t="shared" si="2"/>
        <v>20</v>
      </c>
      <c r="O65" s="186" t="s">
        <v>215</v>
      </c>
      <c r="S65" s="201">
        <v>10</v>
      </c>
      <c r="T65" s="202">
        <v>544.19000000000005</v>
      </c>
      <c r="U65" s="203">
        <v>5441.9</v>
      </c>
    </row>
    <row r="66" spans="3:21" ht="84" x14ac:dyDescent="0.25">
      <c r="C66" s="99">
        <f t="shared" si="4"/>
        <v>7</v>
      </c>
      <c r="D66" s="154" t="s">
        <v>194</v>
      </c>
      <c r="E66" s="155"/>
      <c r="F66" s="155"/>
      <c r="G66" s="155"/>
      <c r="H66" s="200" t="s">
        <v>239</v>
      </c>
      <c r="I66" s="105">
        <v>200</v>
      </c>
      <c r="J66" s="106">
        <v>109.9</v>
      </c>
      <c r="K66" s="160">
        <f t="shared" si="3"/>
        <v>21980</v>
      </c>
      <c r="N66" s="99">
        <f t="shared" si="2"/>
        <v>21</v>
      </c>
      <c r="O66" s="186" t="s">
        <v>216</v>
      </c>
      <c r="S66" s="201">
        <v>20</v>
      </c>
      <c r="T66" s="202">
        <v>133.72999999999999</v>
      </c>
      <c r="U66" s="203">
        <v>2674.6</v>
      </c>
    </row>
    <row r="67" spans="3:21" ht="14.45" customHeight="1" x14ac:dyDescent="0.25">
      <c r="C67" s="99">
        <f t="shared" si="4"/>
        <v>8</v>
      </c>
      <c r="D67" s="150" t="s">
        <v>195</v>
      </c>
      <c r="E67" s="151"/>
      <c r="F67" s="151"/>
      <c r="G67" s="151"/>
      <c r="H67" s="200" t="s">
        <v>239</v>
      </c>
      <c r="I67" s="145">
        <v>816</v>
      </c>
      <c r="J67" s="146">
        <v>36.06</v>
      </c>
      <c r="K67" s="149">
        <f t="shared" si="3"/>
        <v>29424.960000000003</v>
      </c>
      <c r="N67" s="99">
        <f t="shared" si="2"/>
        <v>22</v>
      </c>
      <c r="O67" s="186" t="s">
        <v>217</v>
      </c>
      <c r="S67" s="201">
        <v>5</v>
      </c>
      <c r="T67" s="202">
        <v>160.47999999999999</v>
      </c>
      <c r="U67" s="203">
        <v>802.4</v>
      </c>
    </row>
    <row r="68" spans="3:21" ht="14.45" customHeight="1" x14ac:dyDescent="0.25">
      <c r="C68" s="99">
        <f t="shared" si="4"/>
        <v>9</v>
      </c>
      <c r="D68" s="150" t="s">
        <v>196</v>
      </c>
      <c r="E68" s="151"/>
      <c r="F68" s="151"/>
      <c r="G68" s="151"/>
      <c r="H68" s="200" t="s">
        <v>239</v>
      </c>
      <c r="I68" s="145">
        <v>408</v>
      </c>
      <c r="J68" s="146">
        <v>44.64</v>
      </c>
      <c r="K68" s="149">
        <f t="shared" si="3"/>
        <v>18213.12</v>
      </c>
      <c r="N68" s="99">
        <f t="shared" si="2"/>
        <v>23</v>
      </c>
      <c r="O68" s="186" t="s">
        <v>218</v>
      </c>
      <c r="S68" s="201">
        <v>200</v>
      </c>
      <c r="T68" s="202">
        <v>68.930000000000007</v>
      </c>
      <c r="U68" s="203">
        <v>13786</v>
      </c>
    </row>
    <row r="69" spans="3:21" ht="60" x14ac:dyDescent="0.25">
      <c r="C69" s="99">
        <f t="shared" si="4"/>
        <v>10</v>
      </c>
      <c r="D69" s="152" t="s">
        <v>197</v>
      </c>
      <c r="E69" s="153"/>
      <c r="F69" s="153"/>
      <c r="G69" s="153"/>
      <c r="H69" s="183" t="s">
        <v>239</v>
      </c>
      <c r="I69" s="145">
        <v>22.03</v>
      </c>
      <c r="J69" s="146">
        <v>212.16</v>
      </c>
      <c r="K69" s="149">
        <f t="shared" si="3"/>
        <v>4673.8847999999998</v>
      </c>
      <c r="M69" s="164">
        <f>M96</f>
        <v>4.7999999369494617E-3</v>
      </c>
      <c r="N69" s="99">
        <f t="shared" si="2"/>
        <v>24</v>
      </c>
      <c r="O69" s="182" t="s">
        <v>220</v>
      </c>
      <c r="S69" s="201">
        <v>10</v>
      </c>
      <c r="T69" s="202">
        <v>169.8</v>
      </c>
      <c r="U69" s="203">
        <v>1698</v>
      </c>
    </row>
    <row r="70" spans="3:21" ht="132" x14ac:dyDescent="0.25">
      <c r="C70" s="99">
        <f t="shared" si="4"/>
        <v>11</v>
      </c>
      <c r="D70" s="156" t="s">
        <v>198</v>
      </c>
      <c r="E70" s="157"/>
      <c r="F70" s="157"/>
      <c r="G70" s="157"/>
      <c r="H70" s="200" t="s">
        <v>239</v>
      </c>
      <c r="I70" s="147">
        <v>10</v>
      </c>
      <c r="J70" s="148">
        <v>1220</v>
      </c>
      <c r="K70" s="149">
        <f t="shared" si="3"/>
        <v>12200</v>
      </c>
      <c r="L70" s="164">
        <f>SUM(K60:K70)</f>
        <v>201034.1048</v>
      </c>
      <c r="M70">
        <f>M69/10</f>
        <v>4.7999999369494615E-4</v>
      </c>
      <c r="N70" s="99">
        <f t="shared" si="2"/>
        <v>25</v>
      </c>
      <c r="O70" s="182" t="s">
        <v>381</v>
      </c>
      <c r="S70" s="201">
        <v>30</v>
      </c>
      <c r="T70" s="202">
        <v>154.46</v>
      </c>
      <c r="U70" s="203">
        <v>4633.8</v>
      </c>
    </row>
    <row r="71" spans="3:21" ht="48" x14ac:dyDescent="0.25">
      <c r="C71" s="99">
        <f t="shared" si="4"/>
        <v>12</v>
      </c>
      <c r="D71" s="182" t="s">
        <v>205</v>
      </c>
      <c r="H71" s="200" t="s">
        <v>239</v>
      </c>
      <c r="I71" s="197">
        <v>150</v>
      </c>
      <c r="J71" s="198">
        <v>46.29</v>
      </c>
      <c r="K71" s="199">
        <v>6943.5</v>
      </c>
      <c r="N71" s="99">
        <f t="shared" si="2"/>
        <v>26</v>
      </c>
      <c r="O71" s="182" t="s">
        <v>222</v>
      </c>
      <c r="S71" s="201">
        <v>1</v>
      </c>
      <c r="T71" s="203">
        <v>1802.02</v>
      </c>
      <c r="U71" s="203">
        <v>1802.02</v>
      </c>
    </row>
    <row r="72" spans="3:21" ht="60" x14ac:dyDescent="0.25">
      <c r="C72" s="99">
        <f t="shared" si="4"/>
        <v>13</v>
      </c>
      <c r="D72" s="182" t="s">
        <v>206</v>
      </c>
      <c r="H72" s="200" t="s">
        <v>239</v>
      </c>
      <c r="I72" s="201">
        <v>200</v>
      </c>
      <c r="J72" s="202">
        <v>66.87</v>
      </c>
      <c r="K72" s="203">
        <v>13374</v>
      </c>
      <c r="N72" s="99">
        <f t="shared" si="2"/>
        <v>27</v>
      </c>
      <c r="O72" s="186" t="s">
        <v>223</v>
      </c>
      <c r="S72" s="201">
        <v>1</v>
      </c>
      <c r="T72" s="202">
        <v>112.03</v>
      </c>
      <c r="U72" s="203">
        <v>112.03</v>
      </c>
    </row>
    <row r="73" spans="3:21" ht="48" x14ac:dyDescent="0.25">
      <c r="C73" s="99">
        <f t="shared" si="4"/>
        <v>14</v>
      </c>
      <c r="D73" s="182" t="s">
        <v>208</v>
      </c>
      <c r="H73" s="200" t="s">
        <v>239</v>
      </c>
      <c r="I73" s="201">
        <v>10</v>
      </c>
      <c r="J73" s="202">
        <v>89.1</v>
      </c>
      <c r="K73" s="203">
        <v>891</v>
      </c>
      <c r="N73" s="99">
        <f t="shared" si="2"/>
        <v>28</v>
      </c>
      <c r="O73" s="186" t="s">
        <v>224</v>
      </c>
      <c r="S73" s="201">
        <v>2</v>
      </c>
      <c r="T73" s="203">
        <v>1383.59</v>
      </c>
      <c r="U73" s="203">
        <v>2767.18</v>
      </c>
    </row>
    <row r="74" spans="3:21" ht="36" x14ac:dyDescent="0.25">
      <c r="C74" s="99">
        <f t="shared" si="4"/>
        <v>15</v>
      </c>
      <c r="D74" s="186" t="s">
        <v>209</v>
      </c>
      <c r="H74" s="200" t="s">
        <v>239</v>
      </c>
      <c r="I74" s="201">
        <v>10</v>
      </c>
      <c r="J74" s="202">
        <v>62.89</v>
      </c>
      <c r="K74" s="203">
        <v>628.9</v>
      </c>
      <c r="N74" s="99">
        <f t="shared" si="2"/>
        <v>29</v>
      </c>
      <c r="O74" s="186" t="s">
        <v>225</v>
      </c>
      <c r="S74" s="201">
        <v>2</v>
      </c>
      <c r="T74" s="202">
        <v>503.13</v>
      </c>
      <c r="U74" s="203">
        <v>1006.26</v>
      </c>
    </row>
    <row r="75" spans="3:21" ht="36" x14ac:dyDescent="0.25">
      <c r="C75" s="99">
        <f t="shared" si="4"/>
        <v>16</v>
      </c>
      <c r="D75" s="186" t="s">
        <v>210</v>
      </c>
      <c r="H75" s="200" t="s">
        <v>239</v>
      </c>
      <c r="I75" s="201">
        <v>20</v>
      </c>
      <c r="J75" s="202">
        <v>84.36</v>
      </c>
      <c r="K75" s="203">
        <v>1687.2</v>
      </c>
      <c r="N75" s="99">
        <f t="shared" si="2"/>
        <v>30</v>
      </c>
      <c r="O75" s="186" t="s">
        <v>227</v>
      </c>
      <c r="S75" s="201">
        <v>1</v>
      </c>
      <c r="T75" s="203">
        <v>1949.6</v>
      </c>
      <c r="U75" s="203">
        <v>1949.6</v>
      </c>
    </row>
    <row r="76" spans="3:21" ht="36" x14ac:dyDescent="0.25">
      <c r="C76" s="99">
        <f t="shared" si="4"/>
        <v>17</v>
      </c>
      <c r="D76" s="186" t="s">
        <v>212</v>
      </c>
      <c r="H76" s="200" t="s">
        <v>239</v>
      </c>
      <c r="I76" s="201">
        <v>40</v>
      </c>
      <c r="J76" s="202">
        <v>50.41</v>
      </c>
      <c r="K76" s="203">
        <v>2016.4</v>
      </c>
      <c r="N76" s="99">
        <f t="shared" si="2"/>
        <v>31</v>
      </c>
      <c r="O76" s="186" t="s">
        <v>229</v>
      </c>
      <c r="S76" s="201">
        <v>200</v>
      </c>
      <c r="T76" s="202">
        <v>15.43</v>
      </c>
      <c r="U76" s="203">
        <v>3086</v>
      </c>
    </row>
    <row r="77" spans="3:21" ht="24" x14ac:dyDescent="0.25">
      <c r="C77" s="99">
        <f t="shared" si="4"/>
        <v>18</v>
      </c>
      <c r="D77" s="186" t="s">
        <v>213</v>
      </c>
      <c r="H77" s="200" t="s">
        <v>239</v>
      </c>
      <c r="I77" s="201">
        <v>150</v>
      </c>
      <c r="J77" s="202">
        <v>41.14</v>
      </c>
      <c r="K77" s="203">
        <v>6171</v>
      </c>
      <c r="N77" s="99">
        <f t="shared" si="2"/>
        <v>32</v>
      </c>
      <c r="O77" s="186" t="s">
        <v>231</v>
      </c>
      <c r="S77" s="201">
        <v>300</v>
      </c>
      <c r="T77" s="202">
        <v>12.497</v>
      </c>
      <c r="U77" s="203">
        <v>3749.1</v>
      </c>
    </row>
    <row r="78" spans="3:21" ht="84" x14ac:dyDescent="0.25">
      <c r="C78" s="99">
        <f t="shared" si="4"/>
        <v>19</v>
      </c>
      <c r="D78" s="186" t="s">
        <v>214</v>
      </c>
      <c r="H78" s="200" t="s">
        <v>239</v>
      </c>
      <c r="I78" s="201">
        <v>15</v>
      </c>
      <c r="J78" s="202">
        <v>66.87</v>
      </c>
      <c r="K78" s="203">
        <v>1003.05</v>
      </c>
      <c r="N78" s="99">
        <f t="shared" si="2"/>
        <v>33</v>
      </c>
      <c r="O78" s="186" t="s">
        <v>232</v>
      </c>
      <c r="S78" s="201">
        <v>20</v>
      </c>
      <c r="T78" s="202">
        <v>62.89</v>
      </c>
      <c r="U78" s="203">
        <v>1257.8</v>
      </c>
    </row>
    <row r="79" spans="3:21" ht="48" x14ac:dyDescent="0.25">
      <c r="C79" s="99">
        <f t="shared" si="4"/>
        <v>20</v>
      </c>
      <c r="D79" s="186" t="s">
        <v>215</v>
      </c>
      <c r="H79" s="200" t="s">
        <v>239</v>
      </c>
      <c r="I79" s="201">
        <v>10</v>
      </c>
      <c r="J79" s="202">
        <v>544.19000000000005</v>
      </c>
      <c r="K79" s="203">
        <v>5441.9</v>
      </c>
      <c r="N79" s="99">
        <f t="shared" si="2"/>
        <v>34</v>
      </c>
      <c r="O79" s="186" t="s">
        <v>233</v>
      </c>
      <c r="S79" s="201">
        <v>8</v>
      </c>
      <c r="T79" s="202">
        <v>76.52</v>
      </c>
      <c r="U79" s="203">
        <v>612.16</v>
      </c>
    </row>
    <row r="80" spans="3:21" ht="60" x14ac:dyDescent="0.25">
      <c r="C80" s="99">
        <f t="shared" si="4"/>
        <v>21</v>
      </c>
      <c r="D80" s="186" t="s">
        <v>216</v>
      </c>
      <c r="H80" s="200" t="s">
        <v>239</v>
      </c>
      <c r="I80" s="201">
        <v>20</v>
      </c>
      <c r="J80" s="202">
        <v>133.72999999999999</v>
      </c>
      <c r="K80" s="203">
        <v>2674.6</v>
      </c>
      <c r="N80" s="99">
        <f t="shared" si="2"/>
        <v>35</v>
      </c>
      <c r="O80" s="186" t="s">
        <v>236</v>
      </c>
      <c r="S80" s="201">
        <v>10</v>
      </c>
      <c r="T80" s="202">
        <v>345.9</v>
      </c>
      <c r="U80" s="203">
        <v>3459</v>
      </c>
    </row>
    <row r="81" spans="3:21" x14ac:dyDescent="0.25">
      <c r="C81" s="99">
        <f t="shared" si="4"/>
        <v>22</v>
      </c>
      <c r="D81" s="186" t="s">
        <v>217</v>
      </c>
      <c r="H81" s="200" t="s">
        <v>239</v>
      </c>
      <c r="I81" s="201">
        <v>5</v>
      </c>
      <c r="J81" s="202">
        <v>160.47999999999999</v>
      </c>
      <c r="K81" s="203">
        <v>802.4</v>
      </c>
      <c r="U81" s="164">
        <f>SUM(U46:U80)</f>
        <v>282587.00479999994</v>
      </c>
    </row>
    <row r="82" spans="3:21" x14ac:dyDescent="0.25">
      <c r="C82" s="99">
        <f t="shared" si="4"/>
        <v>23</v>
      </c>
      <c r="D82" s="186" t="s">
        <v>218</v>
      </c>
      <c r="H82" s="200" t="s">
        <v>239</v>
      </c>
      <c r="I82" s="201">
        <v>200</v>
      </c>
      <c r="J82" s="202">
        <v>68.930000000000007</v>
      </c>
      <c r="K82" s="203">
        <v>13786</v>
      </c>
    </row>
    <row r="83" spans="3:21" x14ac:dyDescent="0.25">
      <c r="C83" s="99">
        <f t="shared" si="4"/>
        <v>24</v>
      </c>
      <c r="D83" s="182" t="s">
        <v>220</v>
      </c>
      <c r="H83" s="200" t="s">
        <v>239</v>
      </c>
      <c r="I83" s="201">
        <v>10</v>
      </c>
      <c r="J83" s="202">
        <v>169.8</v>
      </c>
      <c r="K83" s="203">
        <v>1698</v>
      </c>
    </row>
    <row r="84" spans="3:21" ht="24" x14ac:dyDescent="0.25">
      <c r="C84" s="99">
        <f t="shared" si="4"/>
        <v>25</v>
      </c>
      <c r="D84" s="182" t="s">
        <v>381</v>
      </c>
      <c r="H84" s="200" t="s">
        <v>239</v>
      </c>
      <c r="I84" s="201">
        <v>30</v>
      </c>
      <c r="J84" s="202">
        <v>154.46</v>
      </c>
      <c r="K84" s="203">
        <v>4633.8</v>
      </c>
    </row>
    <row r="85" spans="3:21" x14ac:dyDescent="0.25">
      <c r="C85" s="99">
        <f t="shared" si="4"/>
        <v>26</v>
      </c>
      <c r="D85" s="182" t="s">
        <v>222</v>
      </c>
      <c r="H85" s="200" t="s">
        <v>239</v>
      </c>
      <c r="I85" s="201">
        <v>1</v>
      </c>
      <c r="J85" s="203">
        <v>1802.02</v>
      </c>
      <c r="K85" s="203">
        <v>1802.02</v>
      </c>
    </row>
    <row r="86" spans="3:21" x14ac:dyDescent="0.25">
      <c r="C86" s="99">
        <f t="shared" si="4"/>
        <v>27</v>
      </c>
      <c r="D86" s="186" t="s">
        <v>223</v>
      </c>
      <c r="H86" s="200" t="s">
        <v>240</v>
      </c>
      <c r="I86" s="201">
        <v>1</v>
      </c>
      <c r="J86" s="202">
        <v>112.03</v>
      </c>
      <c r="K86" s="203">
        <v>112.03</v>
      </c>
    </row>
    <row r="87" spans="3:21" x14ac:dyDescent="0.25">
      <c r="C87" s="99">
        <f t="shared" si="4"/>
        <v>28</v>
      </c>
      <c r="D87" s="186" t="s">
        <v>224</v>
      </c>
      <c r="H87" s="200" t="s">
        <v>239</v>
      </c>
      <c r="I87" s="201">
        <v>2</v>
      </c>
      <c r="J87" s="203">
        <v>1383.59</v>
      </c>
      <c r="K87" s="203">
        <v>2767.18</v>
      </c>
    </row>
    <row r="88" spans="3:21" x14ac:dyDescent="0.25">
      <c r="C88" s="99">
        <f t="shared" si="4"/>
        <v>29</v>
      </c>
      <c r="D88" s="186" t="s">
        <v>225</v>
      </c>
      <c r="H88" s="200" t="s">
        <v>239</v>
      </c>
      <c r="I88" s="201">
        <v>2</v>
      </c>
      <c r="J88" s="202">
        <v>503.13</v>
      </c>
      <c r="K88" s="203">
        <v>1006.26</v>
      </c>
    </row>
    <row r="89" spans="3:21" x14ac:dyDescent="0.25">
      <c r="C89" s="99">
        <f t="shared" si="4"/>
        <v>30</v>
      </c>
      <c r="D89" s="186" t="s">
        <v>227</v>
      </c>
      <c r="H89" s="200" t="s">
        <v>239</v>
      </c>
      <c r="I89" s="201">
        <v>1</v>
      </c>
      <c r="J89" s="203">
        <v>1949.6</v>
      </c>
      <c r="K89" s="203">
        <v>1949.6</v>
      </c>
    </row>
    <row r="90" spans="3:21" x14ac:dyDescent="0.25">
      <c r="C90" s="99">
        <f t="shared" si="4"/>
        <v>31</v>
      </c>
      <c r="D90" s="186" t="s">
        <v>229</v>
      </c>
      <c r="H90" s="200" t="s">
        <v>239</v>
      </c>
      <c r="I90" s="201">
        <v>200</v>
      </c>
      <c r="J90" s="202">
        <v>15.43</v>
      </c>
      <c r="K90" s="203">
        <v>3086</v>
      </c>
    </row>
    <row r="91" spans="3:21" x14ac:dyDescent="0.25">
      <c r="C91" s="99">
        <f t="shared" si="4"/>
        <v>32</v>
      </c>
      <c r="D91" s="186" t="s">
        <v>231</v>
      </c>
      <c r="H91" s="200" t="s">
        <v>239</v>
      </c>
      <c r="I91" s="201">
        <v>300</v>
      </c>
      <c r="J91" s="202">
        <v>12.497</v>
      </c>
      <c r="K91" s="203">
        <v>3749.1</v>
      </c>
    </row>
    <row r="92" spans="3:21" ht="24" x14ac:dyDescent="0.25">
      <c r="C92" s="99">
        <f t="shared" si="4"/>
        <v>33</v>
      </c>
      <c r="D92" s="186" t="s">
        <v>232</v>
      </c>
      <c r="H92" s="200" t="s">
        <v>239</v>
      </c>
      <c r="I92" s="201">
        <v>20</v>
      </c>
      <c r="J92" s="202">
        <v>62.89</v>
      </c>
      <c r="K92" s="203">
        <v>1257.8</v>
      </c>
      <c r="L92" s="164">
        <f>SUM(K71:K94)</f>
        <v>81552.900000000009</v>
      </c>
    </row>
    <row r="93" spans="3:21" x14ac:dyDescent="0.25">
      <c r="C93" s="99">
        <f t="shared" si="4"/>
        <v>34</v>
      </c>
      <c r="D93" s="186" t="s">
        <v>233</v>
      </c>
      <c r="H93" s="200" t="s">
        <v>239</v>
      </c>
      <c r="I93" s="201">
        <v>8</v>
      </c>
      <c r="J93" s="202">
        <v>76.52</v>
      </c>
      <c r="K93" s="203">
        <v>612.16</v>
      </c>
      <c r="M93">
        <v>282587.0048</v>
      </c>
    </row>
    <row r="94" spans="3:21" x14ac:dyDescent="0.25">
      <c r="C94" s="99">
        <f t="shared" si="4"/>
        <v>35</v>
      </c>
      <c r="D94" s="186" t="s">
        <v>236</v>
      </c>
      <c r="H94" s="200" t="s">
        <v>239</v>
      </c>
      <c r="I94" s="201">
        <v>10</v>
      </c>
      <c r="J94" s="202">
        <v>345.9</v>
      </c>
      <c r="K94" s="203">
        <v>3459</v>
      </c>
    </row>
    <row r="95" spans="3:21" x14ac:dyDescent="0.25">
      <c r="K95" s="164">
        <f>SUM(K60:K94)</f>
        <v>282587.00479999994</v>
      </c>
      <c r="M95">
        <v>282587</v>
      </c>
    </row>
    <row r="96" spans="3:21" x14ac:dyDescent="0.25">
      <c r="M96" s="164">
        <f>K95-M95</f>
        <v>4.7999999369494617E-3</v>
      </c>
    </row>
  </sheetData>
  <autoFilter ref="C7:H32"/>
  <mergeCells count="2">
    <mergeCell ref="D5:H5"/>
    <mergeCell ref="D4:H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0"/>
  <sheetViews>
    <sheetView workbookViewId="0">
      <selection activeCell="D5" sqref="D5:F99"/>
    </sheetView>
  </sheetViews>
  <sheetFormatPr defaultRowHeight="15" x14ac:dyDescent="0.25"/>
  <cols>
    <col min="3" max="3" width="32.42578125" customWidth="1"/>
  </cols>
  <sheetData>
    <row r="2" spans="2:6" ht="15.75" thickBot="1" x14ac:dyDescent="0.3"/>
    <row r="3" spans="2:6" ht="15.75" x14ac:dyDescent="0.25">
      <c r="B3" s="165" t="s">
        <v>243</v>
      </c>
      <c r="C3" s="973" t="s">
        <v>245</v>
      </c>
      <c r="D3" s="975" t="s">
        <v>246</v>
      </c>
      <c r="E3" s="167" t="s">
        <v>247</v>
      </c>
      <c r="F3" s="167" t="s">
        <v>248</v>
      </c>
    </row>
    <row r="4" spans="2:6" ht="16.5" thickBot="1" x14ac:dyDescent="0.3">
      <c r="B4" s="166" t="s">
        <v>244</v>
      </c>
      <c r="C4" s="974"/>
      <c r="D4" s="976"/>
      <c r="E4" s="168" t="s">
        <v>6</v>
      </c>
      <c r="F4" s="168" t="s">
        <v>6</v>
      </c>
    </row>
    <row r="5" spans="2:6" ht="16.5" thickBot="1" x14ac:dyDescent="0.3">
      <c r="B5" s="169">
        <v>1</v>
      </c>
      <c r="C5" s="170" t="s">
        <v>249</v>
      </c>
      <c r="D5" s="170">
        <v>6</v>
      </c>
      <c r="E5" s="171"/>
      <c r="F5" s="171"/>
    </row>
    <row r="6" spans="2:6" ht="32.25" thickBot="1" x14ac:dyDescent="0.3">
      <c r="B6" s="169">
        <v>2</v>
      </c>
      <c r="C6" s="170" t="s">
        <v>250</v>
      </c>
      <c r="D6" s="170">
        <v>6</v>
      </c>
      <c r="E6" s="171"/>
      <c r="F6" s="171"/>
    </row>
    <row r="7" spans="2:6" ht="16.5" thickBot="1" x14ac:dyDescent="0.3">
      <c r="B7" s="169">
        <v>3</v>
      </c>
      <c r="C7" s="170" t="s">
        <v>251</v>
      </c>
      <c r="D7" s="170">
        <v>3</v>
      </c>
      <c r="E7" s="171"/>
      <c r="F7" s="171"/>
    </row>
    <row r="8" spans="2:6" ht="16.5" thickBot="1" x14ac:dyDescent="0.3">
      <c r="B8" s="169">
        <v>4</v>
      </c>
      <c r="C8" s="170" t="s">
        <v>252</v>
      </c>
      <c r="D8" s="170">
        <v>6</v>
      </c>
      <c r="E8" s="171"/>
      <c r="F8" s="171"/>
    </row>
    <row r="9" spans="2:6" ht="32.25" thickBot="1" x14ac:dyDescent="0.3">
      <c r="B9" s="169">
        <v>5</v>
      </c>
      <c r="C9" s="170" t="s">
        <v>253</v>
      </c>
      <c r="D9" s="170">
        <v>10</v>
      </c>
      <c r="E9" s="171"/>
      <c r="F9" s="171"/>
    </row>
    <row r="10" spans="2:6" ht="16.5" thickBot="1" x14ac:dyDescent="0.3">
      <c r="B10" s="169">
        <v>6</v>
      </c>
      <c r="C10" s="170" t="s">
        <v>254</v>
      </c>
      <c r="D10" s="170">
        <v>10</v>
      </c>
      <c r="E10" s="171"/>
      <c r="F10" s="171"/>
    </row>
    <row r="11" spans="2:6" ht="16.5" thickBot="1" x14ac:dyDescent="0.3">
      <c r="B11" s="169">
        <v>7</v>
      </c>
      <c r="C11" s="170" t="s">
        <v>255</v>
      </c>
      <c r="D11" s="170">
        <v>5</v>
      </c>
      <c r="E11" s="171"/>
      <c r="F11" s="171"/>
    </row>
    <row r="12" spans="2:6" ht="16.5" thickBot="1" x14ac:dyDescent="0.3">
      <c r="B12" s="169">
        <v>8</v>
      </c>
      <c r="C12" s="170" t="s">
        <v>256</v>
      </c>
      <c r="D12" s="170">
        <v>10</v>
      </c>
      <c r="E12" s="171"/>
      <c r="F12" s="171"/>
    </row>
    <row r="13" spans="2:6" ht="16.5" thickBot="1" x14ac:dyDescent="0.3">
      <c r="B13" s="169">
        <v>9</v>
      </c>
      <c r="C13" s="170" t="s">
        <v>257</v>
      </c>
      <c r="D13" s="170">
        <v>1</v>
      </c>
      <c r="E13" s="171"/>
      <c r="F13" s="171"/>
    </row>
    <row r="14" spans="2:6" ht="16.5" thickBot="1" x14ac:dyDescent="0.3">
      <c r="B14" s="169">
        <v>10</v>
      </c>
      <c r="C14" s="170" t="s">
        <v>258</v>
      </c>
      <c r="D14" s="170">
        <v>10</v>
      </c>
      <c r="E14" s="171"/>
      <c r="F14" s="171"/>
    </row>
    <row r="15" spans="2:6" ht="16.5" thickBot="1" x14ac:dyDescent="0.3">
      <c r="B15" s="169">
        <v>11</v>
      </c>
      <c r="C15" s="170" t="s">
        <v>259</v>
      </c>
      <c r="D15" s="170">
        <v>1</v>
      </c>
      <c r="E15" s="171"/>
      <c r="F15" s="171"/>
    </row>
    <row r="16" spans="2:6" ht="16.5" thickBot="1" x14ac:dyDescent="0.3">
      <c r="B16" s="169">
        <v>12</v>
      </c>
      <c r="C16" s="170" t="s">
        <v>260</v>
      </c>
      <c r="D16" s="170">
        <v>5</v>
      </c>
      <c r="E16" s="171"/>
      <c r="F16" s="171"/>
    </row>
    <row r="17" spans="2:6" ht="32.25" thickBot="1" x14ac:dyDescent="0.3">
      <c r="B17" s="169">
        <v>13</v>
      </c>
      <c r="C17" s="170" t="s">
        <v>261</v>
      </c>
      <c r="D17" s="170">
        <v>3</v>
      </c>
      <c r="E17" s="171"/>
      <c r="F17" s="171"/>
    </row>
    <row r="18" spans="2:6" ht="32.25" thickBot="1" x14ac:dyDescent="0.3">
      <c r="B18" s="169">
        <v>14</v>
      </c>
      <c r="C18" s="170" t="s">
        <v>262</v>
      </c>
      <c r="D18" s="170">
        <v>2</v>
      </c>
      <c r="E18" s="171"/>
      <c r="F18" s="171"/>
    </row>
    <row r="19" spans="2:6" ht="32.25" thickBot="1" x14ac:dyDescent="0.3">
      <c r="B19" s="169">
        <v>15</v>
      </c>
      <c r="C19" s="170" t="s">
        <v>263</v>
      </c>
      <c r="D19" s="170">
        <v>2</v>
      </c>
      <c r="E19" s="171"/>
      <c r="F19" s="171"/>
    </row>
    <row r="20" spans="2:6" ht="16.5" thickBot="1" x14ac:dyDescent="0.3">
      <c r="B20" s="169">
        <v>16</v>
      </c>
      <c r="C20" s="170" t="s">
        <v>264</v>
      </c>
      <c r="D20" s="170">
        <v>5</v>
      </c>
      <c r="E20" s="171"/>
      <c r="F20" s="171"/>
    </row>
    <row r="21" spans="2:6" ht="16.5" thickBot="1" x14ac:dyDescent="0.3">
      <c r="B21" s="169">
        <v>17</v>
      </c>
      <c r="C21" s="170" t="s">
        <v>265</v>
      </c>
      <c r="D21" s="170">
        <v>30</v>
      </c>
      <c r="E21" s="171"/>
      <c r="F21" s="171"/>
    </row>
    <row r="22" spans="2:6" ht="16.5" thickBot="1" x14ac:dyDescent="0.3">
      <c r="B22" s="169">
        <v>18</v>
      </c>
      <c r="C22" s="170" t="s">
        <v>266</v>
      </c>
      <c r="D22" s="170">
        <v>10</v>
      </c>
      <c r="E22" s="171"/>
      <c r="F22" s="171"/>
    </row>
    <row r="23" spans="2:6" ht="16.5" thickBot="1" x14ac:dyDescent="0.3">
      <c r="B23" s="169">
        <v>19</v>
      </c>
      <c r="C23" s="170" t="s">
        <v>267</v>
      </c>
      <c r="D23" s="170">
        <v>5</v>
      </c>
      <c r="E23" s="171"/>
      <c r="F23" s="171"/>
    </row>
    <row r="24" spans="2:6" ht="16.5" thickBot="1" x14ac:dyDescent="0.3">
      <c r="B24" s="169">
        <v>20</v>
      </c>
      <c r="C24" s="170" t="s">
        <v>268</v>
      </c>
      <c r="D24" s="170">
        <v>30</v>
      </c>
      <c r="E24" s="171"/>
      <c r="F24" s="171"/>
    </row>
    <row r="25" spans="2:6" ht="16.5" thickBot="1" x14ac:dyDescent="0.3">
      <c r="B25" s="169">
        <v>21</v>
      </c>
      <c r="C25" s="170" t="s">
        <v>269</v>
      </c>
      <c r="D25" s="170">
        <v>500</v>
      </c>
      <c r="E25" s="171"/>
      <c r="F25" s="171"/>
    </row>
    <row r="26" spans="2:6" ht="16.5" thickBot="1" x14ac:dyDescent="0.3">
      <c r="B26" s="169">
        <v>22</v>
      </c>
      <c r="C26" s="170" t="s">
        <v>270</v>
      </c>
      <c r="D26" s="170">
        <v>5</v>
      </c>
      <c r="E26" s="171"/>
      <c r="F26" s="171"/>
    </row>
    <row r="27" spans="2:6" ht="16.5" thickBot="1" x14ac:dyDescent="0.3">
      <c r="B27" s="169">
        <v>23</v>
      </c>
      <c r="C27" s="170" t="s">
        <v>271</v>
      </c>
      <c r="D27" s="170">
        <v>50</v>
      </c>
      <c r="E27" s="171"/>
      <c r="F27" s="171"/>
    </row>
    <row r="28" spans="2:6" ht="16.5" thickBot="1" x14ac:dyDescent="0.3">
      <c r="B28" s="169">
        <v>24</v>
      </c>
      <c r="C28" s="170" t="s">
        <v>272</v>
      </c>
      <c r="D28" s="170">
        <v>4</v>
      </c>
      <c r="E28" s="171"/>
      <c r="F28" s="171"/>
    </row>
    <row r="29" spans="2:6" ht="16.5" thickBot="1" x14ac:dyDescent="0.3">
      <c r="B29" s="169">
        <v>25</v>
      </c>
      <c r="C29" s="170" t="s">
        <v>273</v>
      </c>
      <c r="D29" s="170">
        <v>6</v>
      </c>
      <c r="E29" s="171"/>
      <c r="F29" s="171"/>
    </row>
    <row r="30" spans="2:6" ht="16.5" thickBot="1" x14ac:dyDescent="0.3">
      <c r="B30" s="169">
        <v>26</v>
      </c>
      <c r="C30" s="170" t="s">
        <v>274</v>
      </c>
      <c r="D30" s="170">
        <v>10</v>
      </c>
      <c r="E30" s="171"/>
      <c r="F30" s="171"/>
    </row>
    <row r="31" spans="2:6" ht="16.5" thickBot="1" x14ac:dyDescent="0.3">
      <c r="B31" s="169">
        <v>27</v>
      </c>
      <c r="C31" s="170" t="s">
        <v>275</v>
      </c>
      <c r="D31" s="170">
        <v>10</v>
      </c>
      <c r="E31" s="171"/>
      <c r="F31" s="171"/>
    </row>
    <row r="32" spans="2:6" ht="16.5" thickBot="1" x14ac:dyDescent="0.3">
      <c r="B32" s="169">
        <v>28</v>
      </c>
      <c r="C32" s="170" t="s">
        <v>276</v>
      </c>
      <c r="D32" s="170">
        <v>10</v>
      </c>
      <c r="E32" s="171"/>
      <c r="F32" s="171"/>
    </row>
    <row r="33" spans="2:6" ht="16.5" thickBot="1" x14ac:dyDescent="0.3">
      <c r="B33" s="169">
        <v>29</v>
      </c>
      <c r="C33" s="170" t="s">
        <v>277</v>
      </c>
      <c r="D33" s="170">
        <v>3</v>
      </c>
      <c r="E33" s="171"/>
      <c r="F33" s="171"/>
    </row>
    <row r="34" spans="2:6" ht="16.5" thickBot="1" x14ac:dyDescent="0.3">
      <c r="B34" s="169">
        <v>30</v>
      </c>
      <c r="C34" s="170" t="s">
        <v>278</v>
      </c>
      <c r="D34" s="170">
        <v>30</v>
      </c>
      <c r="E34" s="171"/>
      <c r="F34" s="171"/>
    </row>
    <row r="35" spans="2:6" ht="16.5" thickBot="1" x14ac:dyDescent="0.3">
      <c r="B35" s="169">
        <v>31</v>
      </c>
      <c r="C35" s="170" t="s">
        <v>279</v>
      </c>
      <c r="D35" s="170">
        <v>30</v>
      </c>
      <c r="E35" s="171"/>
      <c r="F35" s="171"/>
    </row>
    <row r="36" spans="2:6" ht="16.5" thickBot="1" x14ac:dyDescent="0.3">
      <c r="B36" s="169">
        <v>32</v>
      </c>
      <c r="C36" s="170" t="s">
        <v>280</v>
      </c>
      <c r="D36" s="170">
        <v>10</v>
      </c>
      <c r="E36" s="171"/>
      <c r="F36" s="171"/>
    </row>
    <row r="37" spans="2:6" ht="16.5" thickBot="1" x14ac:dyDescent="0.3">
      <c r="B37" s="169">
        <v>33</v>
      </c>
      <c r="C37" s="170" t="s">
        <v>281</v>
      </c>
      <c r="D37" s="170">
        <v>400</v>
      </c>
      <c r="E37" s="171"/>
      <c r="F37" s="171"/>
    </row>
    <row r="38" spans="2:6" ht="16.5" thickBot="1" x14ac:dyDescent="0.3">
      <c r="B38" s="169">
        <v>34</v>
      </c>
      <c r="C38" s="170" t="s">
        <v>282</v>
      </c>
      <c r="D38" s="170">
        <v>50</v>
      </c>
      <c r="E38" s="171"/>
      <c r="F38" s="171"/>
    </row>
    <row r="39" spans="2:6" ht="32.25" thickBot="1" x14ac:dyDescent="0.3">
      <c r="B39" s="169">
        <v>35</v>
      </c>
      <c r="C39" s="170" t="s">
        <v>283</v>
      </c>
      <c r="D39" s="170">
        <v>2</v>
      </c>
      <c r="E39" s="171"/>
      <c r="F39" s="171"/>
    </row>
    <row r="40" spans="2:6" ht="16.5" thickBot="1" x14ac:dyDescent="0.3">
      <c r="B40" s="169">
        <v>36</v>
      </c>
      <c r="C40" s="170" t="s">
        <v>284</v>
      </c>
      <c r="D40" s="170">
        <v>2</v>
      </c>
      <c r="E40" s="171"/>
      <c r="F40" s="171"/>
    </row>
    <row r="41" spans="2:6" ht="32.25" thickBot="1" x14ac:dyDescent="0.3">
      <c r="B41" s="169">
        <v>37</v>
      </c>
      <c r="C41" s="170" t="s">
        <v>285</v>
      </c>
      <c r="D41" s="170">
        <v>2</v>
      </c>
      <c r="E41" s="171"/>
      <c r="F41" s="171"/>
    </row>
    <row r="42" spans="2:6" ht="16.5" thickBot="1" x14ac:dyDescent="0.3">
      <c r="B42" s="169">
        <v>38</v>
      </c>
      <c r="C42" s="170" t="s">
        <v>286</v>
      </c>
      <c r="D42" s="170">
        <v>10</v>
      </c>
      <c r="E42" s="171"/>
      <c r="F42" s="171"/>
    </row>
    <row r="43" spans="2:6" ht="32.25" thickBot="1" x14ac:dyDescent="0.3">
      <c r="B43" s="169">
        <v>39</v>
      </c>
      <c r="C43" s="170" t="s">
        <v>287</v>
      </c>
      <c r="D43" s="170">
        <v>40</v>
      </c>
      <c r="E43" s="171"/>
      <c r="F43" s="171"/>
    </row>
    <row r="44" spans="2:6" ht="32.25" thickBot="1" x14ac:dyDescent="0.3">
      <c r="B44" s="169">
        <v>40</v>
      </c>
      <c r="C44" s="170" t="s">
        <v>288</v>
      </c>
      <c r="D44" s="170">
        <v>6</v>
      </c>
      <c r="E44" s="171"/>
      <c r="F44" s="171"/>
    </row>
    <row r="45" spans="2:6" ht="32.25" thickBot="1" x14ac:dyDescent="0.3">
      <c r="B45" s="169">
        <v>41</v>
      </c>
      <c r="C45" s="170" t="s">
        <v>289</v>
      </c>
      <c r="D45" s="170">
        <v>50</v>
      </c>
      <c r="E45" s="171"/>
      <c r="F45" s="171"/>
    </row>
    <row r="46" spans="2:6" ht="16.5" thickBot="1" x14ac:dyDescent="0.3">
      <c r="B46" s="169">
        <v>42</v>
      </c>
      <c r="C46" s="170" t="s">
        <v>290</v>
      </c>
      <c r="D46" s="170">
        <v>2</v>
      </c>
      <c r="E46" s="171"/>
      <c r="F46" s="171"/>
    </row>
    <row r="47" spans="2:6" ht="32.25" thickBot="1" x14ac:dyDescent="0.3">
      <c r="B47" s="169">
        <v>43</v>
      </c>
      <c r="C47" s="170" t="s">
        <v>291</v>
      </c>
      <c r="D47" s="170">
        <v>3</v>
      </c>
      <c r="E47" s="171"/>
      <c r="F47" s="171"/>
    </row>
    <row r="48" spans="2:6" ht="16.5" thickBot="1" x14ac:dyDescent="0.3">
      <c r="B48" s="169">
        <v>44</v>
      </c>
      <c r="C48" s="170" t="s">
        <v>292</v>
      </c>
      <c r="D48" s="170">
        <v>5</v>
      </c>
      <c r="E48" s="171"/>
      <c r="F48" s="171"/>
    </row>
    <row r="49" spans="2:6" ht="16.5" thickBot="1" x14ac:dyDescent="0.3">
      <c r="B49" s="169">
        <v>45</v>
      </c>
      <c r="C49" s="170" t="s">
        <v>293</v>
      </c>
      <c r="D49" s="170">
        <v>5</v>
      </c>
      <c r="E49" s="171"/>
      <c r="F49" s="171"/>
    </row>
    <row r="50" spans="2:6" ht="16.5" thickBot="1" x14ac:dyDescent="0.3">
      <c r="B50" s="169">
        <v>46</v>
      </c>
      <c r="C50" s="170" t="s">
        <v>294</v>
      </c>
      <c r="D50" s="170">
        <v>1</v>
      </c>
      <c r="E50" s="171"/>
      <c r="F50" s="171"/>
    </row>
    <row r="51" spans="2:6" ht="16.5" thickBot="1" x14ac:dyDescent="0.3">
      <c r="B51" s="169">
        <v>47</v>
      </c>
      <c r="C51" s="170" t="s">
        <v>295</v>
      </c>
      <c r="D51" s="170">
        <v>1</v>
      </c>
      <c r="E51" s="171"/>
      <c r="F51" s="171"/>
    </row>
    <row r="52" spans="2:6" ht="16.5" thickBot="1" x14ac:dyDescent="0.3">
      <c r="B52" s="169">
        <v>48</v>
      </c>
      <c r="C52" s="170" t="s">
        <v>296</v>
      </c>
      <c r="D52" s="170">
        <v>1</v>
      </c>
      <c r="E52" s="171"/>
      <c r="F52" s="171"/>
    </row>
    <row r="53" spans="2:6" ht="16.5" thickBot="1" x14ac:dyDescent="0.3">
      <c r="B53" s="169">
        <v>49</v>
      </c>
      <c r="C53" s="170" t="s">
        <v>297</v>
      </c>
      <c r="D53" s="170">
        <v>1</v>
      </c>
      <c r="E53" s="171"/>
      <c r="F53" s="171"/>
    </row>
    <row r="54" spans="2:6" ht="16.5" thickBot="1" x14ac:dyDescent="0.3">
      <c r="B54" s="169">
        <v>50</v>
      </c>
      <c r="C54" s="170" t="s">
        <v>298</v>
      </c>
      <c r="D54" s="170">
        <v>10</v>
      </c>
      <c r="E54" s="171"/>
      <c r="F54" s="171"/>
    </row>
    <row r="55" spans="2:6" ht="16.5" thickBot="1" x14ac:dyDescent="0.3">
      <c r="B55" s="169">
        <v>51</v>
      </c>
      <c r="C55" s="170" t="s">
        <v>299</v>
      </c>
      <c r="D55" s="170">
        <v>5</v>
      </c>
      <c r="E55" s="171"/>
      <c r="F55" s="171"/>
    </row>
    <row r="56" spans="2:6" ht="16.5" thickBot="1" x14ac:dyDescent="0.3">
      <c r="B56" s="169">
        <v>52</v>
      </c>
      <c r="C56" s="170" t="s">
        <v>300</v>
      </c>
      <c r="D56" s="170">
        <v>3</v>
      </c>
      <c r="E56" s="171"/>
      <c r="F56" s="171"/>
    </row>
    <row r="57" spans="2:6" ht="16.5" thickBot="1" x14ac:dyDescent="0.3">
      <c r="B57" s="169">
        <v>53</v>
      </c>
      <c r="C57" s="170" t="s">
        <v>301</v>
      </c>
      <c r="D57" s="170">
        <v>3</v>
      </c>
      <c r="E57" s="171"/>
      <c r="F57" s="171"/>
    </row>
    <row r="58" spans="2:6" ht="16.5" thickBot="1" x14ac:dyDescent="0.3">
      <c r="B58" s="169">
        <v>54</v>
      </c>
      <c r="C58" s="170" t="s">
        <v>302</v>
      </c>
      <c r="D58" s="170">
        <v>1</v>
      </c>
      <c r="E58" s="171"/>
      <c r="F58" s="171"/>
    </row>
    <row r="59" spans="2:6" ht="16.5" thickBot="1" x14ac:dyDescent="0.3">
      <c r="B59" s="169">
        <v>55</v>
      </c>
      <c r="C59" s="170" t="s">
        <v>303</v>
      </c>
      <c r="D59" s="170">
        <v>5</v>
      </c>
      <c r="E59" s="171"/>
      <c r="F59" s="171"/>
    </row>
    <row r="60" spans="2:6" ht="32.25" thickBot="1" x14ac:dyDescent="0.3">
      <c r="B60" s="169">
        <v>56</v>
      </c>
      <c r="C60" s="170" t="s">
        <v>304</v>
      </c>
      <c r="D60" s="170">
        <v>3</v>
      </c>
      <c r="E60" s="171"/>
      <c r="F60" s="171"/>
    </row>
    <row r="61" spans="2:6" ht="16.5" thickBot="1" x14ac:dyDescent="0.3">
      <c r="B61" s="169">
        <v>57</v>
      </c>
      <c r="C61" s="170" t="s">
        <v>305</v>
      </c>
      <c r="D61" s="170">
        <v>20</v>
      </c>
      <c r="E61" s="171"/>
      <c r="F61" s="171"/>
    </row>
    <row r="62" spans="2:6" ht="16.5" thickBot="1" x14ac:dyDescent="0.3">
      <c r="B62" s="169">
        <v>58</v>
      </c>
      <c r="C62" s="170" t="s">
        <v>306</v>
      </c>
      <c r="D62" s="170">
        <v>20</v>
      </c>
      <c r="E62" s="171"/>
      <c r="F62" s="171"/>
    </row>
    <row r="63" spans="2:6" ht="16.5" thickBot="1" x14ac:dyDescent="0.3">
      <c r="B63" s="169">
        <v>59</v>
      </c>
      <c r="C63" s="170" t="s">
        <v>307</v>
      </c>
      <c r="D63" s="170">
        <v>20</v>
      </c>
      <c r="E63" s="171"/>
      <c r="F63" s="171"/>
    </row>
    <row r="64" spans="2:6" ht="16.5" thickBot="1" x14ac:dyDescent="0.3">
      <c r="B64" s="169">
        <v>60</v>
      </c>
      <c r="C64" s="170" t="s">
        <v>308</v>
      </c>
      <c r="D64" s="170">
        <v>20</v>
      </c>
      <c r="E64" s="171"/>
      <c r="F64" s="171"/>
    </row>
    <row r="65" spans="2:6" ht="16.5" thickBot="1" x14ac:dyDescent="0.3">
      <c r="B65" s="169">
        <v>61</v>
      </c>
      <c r="C65" s="170" t="s">
        <v>309</v>
      </c>
      <c r="D65" s="170">
        <v>20</v>
      </c>
      <c r="E65" s="171"/>
      <c r="F65" s="171"/>
    </row>
    <row r="66" spans="2:6" ht="16.5" thickBot="1" x14ac:dyDescent="0.3">
      <c r="B66" s="169">
        <v>62</v>
      </c>
      <c r="C66" s="170" t="s">
        <v>310</v>
      </c>
      <c r="D66" s="170">
        <v>20</v>
      </c>
      <c r="E66" s="171"/>
      <c r="F66" s="171"/>
    </row>
    <row r="67" spans="2:6" ht="32.25" thickBot="1" x14ac:dyDescent="0.3">
      <c r="B67" s="169">
        <v>63</v>
      </c>
      <c r="C67" s="170" t="s">
        <v>311</v>
      </c>
      <c r="D67" s="170">
        <v>10</v>
      </c>
      <c r="E67" s="171"/>
      <c r="F67" s="171"/>
    </row>
    <row r="68" spans="2:6" ht="16.5" thickBot="1" x14ac:dyDescent="0.3">
      <c r="B68" s="169">
        <v>64</v>
      </c>
      <c r="C68" s="170" t="s">
        <v>312</v>
      </c>
      <c r="D68" s="170">
        <v>4</v>
      </c>
      <c r="E68" s="171"/>
      <c r="F68" s="171"/>
    </row>
    <row r="69" spans="2:6" ht="16.5" thickBot="1" x14ac:dyDescent="0.3">
      <c r="B69" s="169">
        <v>65</v>
      </c>
      <c r="C69" s="170" t="s">
        <v>313</v>
      </c>
      <c r="D69" s="170">
        <v>2</v>
      </c>
      <c r="E69" s="171"/>
      <c r="F69" s="171"/>
    </row>
    <row r="70" spans="2:6" ht="16.5" thickBot="1" x14ac:dyDescent="0.3">
      <c r="B70" s="169">
        <v>66</v>
      </c>
      <c r="C70" s="170" t="s">
        <v>314</v>
      </c>
      <c r="D70" s="170">
        <v>1</v>
      </c>
      <c r="E70" s="171"/>
      <c r="F70" s="171"/>
    </row>
    <row r="71" spans="2:6" ht="32.25" thickBot="1" x14ac:dyDescent="0.3">
      <c r="B71" s="169">
        <v>67</v>
      </c>
      <c r="C71" s="170" t="s">
        <v>315</v>
      </c>
      <c r="D71" s="170">
        <v>5</v>
      </c>
      <c r="E71" s="171"/>
      <c r="F71" s="171"/>
    </row>
    <row r="72" spans="2:6" ht="32.25" thickBot="1" x14ac:dyDescent="0.3">
      <c r="B72" s="169">
        <v>68</v>
      </c>
      <c r="C72" s="170" t="s">
        <v>316</v>
      </c>
      <c r="D72" s="170">
        <v>5</v>
      </c>
      <c r="E72" s="171"/>
      <c r="F72" s="171"/>
    </row>
    <row r="73" spans="2:6" ht="16.5" thickBot="1" x14ac:dyDescent="0.3">
      <c r="B73" s="169">
        <v>69</v>
      </c>
      <c r="C73" s="170" t="s">
        <v>317</v>
      </c>
      <c r="D73" s="170">
        <v>30</v>
      </c>
      <c r="E73" s="171"/>
      <c r="F73" s="171"/>
    </row>
    <row r="74" spans="2:6" ht="16.5" thickBot="1" x14ac:dyDescent="0.3">
      <c r="B74" s="169">
        <v>70</v>
      </c>
      <c r="C74" s="170" t="s">
        <v>318</v>
      </c>
      <c r="D74" s="170">
        <v>10</v>
      </c>
      <c r="E74" s="171"/>
      <c r="F74" s="171"/>
    </row>
    <row r="75" spans="2:6" ht="16.5" thickBot="1" x14ac:dyDescent="0.3">
      <c r="B75" s="169">
        <v>71</v>
      </c>
      <c r="C75" s="170" t="s">
        <v>319</v>
      </c>
      <c r="D75" s="170">
        <v>10</v>
      </c>
      <c r="E75" s="171"/>
      <c r="F75" s="171"/>
    </row>
    <row r="76" spans="2:6" ht="32.25" thickBot="1" x14ac:dyDescent="0.3">
      <c r="B76" s="169">
        <v>72</v>
      </c>
      <c r="C76" s="170" t="s">
        <v>320</v>
      </c>
      <c r="D76" s="170">
        <v>10</v>
      </c>
      <c r="E76" s="171"/>
      <c r="F76" s="171"/>
    </row>
    <row r="77" spans="2:6" ht="32.25" thickBot="1" x14ac:dyDescent="0.3">
      <c r="B77" s="169">
        <v>73</v>
      </c>
      <c r="C77" s="170" t="s">
        <v>321</v>
      </c>
      <c r="D77" s="170">
        <v>3</v>
      </c>
      <c r="E77" s="171"/>
      <c r="F77" s="171"/>
    </row>
    <row r="78" spans="2:6" ht="16.5" thickBot="1" x14ac:dyDescent="0.3">
      <c r="B78" s="169">
        <v>74</v>
      </c>
      <c r="C78" s="170" t="s">
        <v>322</v>
      </c>
      <c r="D78" s="170">
        <v>5</v>
      </c>
      <c r="E78" s="171"/>
      <c r="F78" s="171"/>
    </row>
    <row r="79" spans="2:6" ht="16.5" thickBot="1" x14ac:dyDescent="0.3">
      <c r="B79" s="169">
        <v>75</v>
      </c>
      <c r="C79" s="170" t="s">
        <v>323</v>
      </c>
      <c r="D79" s="170">
        <v>5</v>
      </c>
      <c r="E79" s="171"/>
      <c r="F79" s="171"/>
    </row>
    <row r="80" spans="2:6" ht="16.5" thickBot="1" x14ac:dyDescent="0.3">
      <c r="B80" s="169">
        <v>76</v>
      </c>
      <c r="C80" s="170" t="s">
        <v>324</v>
      </c>
      <c r="D80" s="170">
        <v>5</v>
      </c>
      <c r="E80" s="171"/>
      <c r="F80" s="171"/>
    </row>
    <row r="81" spans="2:6" ht="16.5" thickBot="1" x14ac:dyDescent="0.3">
      <c r="B81" s="169">
        <v>77</v>
      </c>
      <c r="C81" s="170" t="s">
        <v>325</v>
      </c>
      <c r="D81" s="170">
        <v>1</v>
      </c>
      <c r="E81" s="171"/>
      <c r="F81" s="171"/>
    </row>
    <row r="82" spans="2:6" ht="16.5" thickBot="1" x14ac:dyDescent="0.3">
      <c r="B82" s="169">
        <v>78</v>
      </c>
      <c r="C82" s="170" t="s">
        <v>326</v>
      </c>
      <c r="D82" s="170">
        <v>3</v>
      </c>
      <c r="E82" s="171"/>
      <c r="F82" s="171"/>
    </row>
    <row r="83" spans="2:6" ht="16.5" thickBot="1" x14ac:dyDescent="0.3">
      <c r="B83" s="169">
        <v>79</v>
      </c>
      <c r="C83" s="170" t="s">
        <v>327</v>
      </c>
      <c r="D83" s="170">
        <v>3</v>
      </c>
      <c r="E83" s="171"/>
      <c r="F83" s="171"/>
    </row>
    <row r="84" spans="2:6" ht="32.25" thickBot="1" x14ac:dyDescent="0.3">
      <c r="B84" s="169">
        <v>80</v>
      </c>
      <c r="C84" s="170" t="s">
        <v>328</v>
      </c>
      <c r="D84" s="170">
        <v>2</v>
      </c>
      <c r="E84" s="171"/>
      <c r="F84" s="171"/>
    </row>
    <row r="85" spans="2:6" ht="32.25" thickBot="1" x14ac:dyDescent="0.3">
      <c r="B85" s="169">
        <v>81</v>
      </c>
      <c r="C85" s="170" t="s">
        <v>329</v>
      </c>
      <c r="D85" s="170">
        <v>1</v>
      </c>
      <c r="E85" s="171"/>
      <c r="F85" s="171"/>
    </row>
    <row r="86" spans="2:6" ht="32.25" thickBot="1" x14ac:dyDescent="0.3">
      <c r="B86" s="169">
        <v>82</v>
      </c>
      <c r="C86" s="170" t="s">
        <v>330</v>
      </c>
      <c r="D86" s="170">
        <v>30</v>
      </c>
      <c r="E86" s="171"/>
      <c r="F86" s="171"/>
    </row>
    <row r="87" spans="2:6" ht="48" thickBot="1" x14ac:dyDescent="0.3">
      <c r="B87" s="169">
        <v>83</v>
      </c>
      <c r="C87" s="170" t="s">
        <v>331</v>
      </c>
      <c r="D87" s="170">
        <v>2</v>
      </c>
      <c r="E87" s="171"/>
      <c r="F87" s="171"/>
    </row>
    <row r="88" spans="2:6" ht="48" thickBot="1" x14ac:dyDescent="0.3">
      <c r="B88" s="169">
        <v>84</v>
      </c>
      <c r="C88" s="170" t="s">
        <v>332</v>
      </c>
      <c r="D88" s="170">
        <v>3</v>
      </c>
      <c r="E88" s="171"/>
      <c r="F88" s="171"/>
    </row>
    <row r="89" spans="2:6" ht="16.5" thickBot="1" x14ac:dyDescent="0.3">
      <c r="B89" s="169">
        <v>85</v>
      </c>
      <c r="C89" s="170" t="s">
        <v>333</v>
      </c>
      <c r="D89" s="170">
        <v>50</v>
      </c>
      <c r="E89" s="171"/>
      <c r="F89" s="171"/>
    </row>
    <row r="90" spans="2:6" ht="16.5" thickBot="1" x14ac:dyDescent="0.3">
      <c r="B90" s="169">
        <v>86</v>
      </c>
      <c r="C90" s="170" t="s">
        <v>334</v>
      </c>
      <c r="D90" s="170">
        <v>50</v>
      </c>
      <c r="E90" s="171"/>
      <c r="F90" s="171"/>
    </row>
    <row r="91" spans="2:6" ht="32.25" thickBot="1" x14ac:dyDescent="0.3">
      <c r="B91" s="169">
        <v>87</v>
      </c>
      <c r="C91" s="170" t="s">
        <v>335</v>
      </c>
      <c r="D91" s="170">
        <v>10</v>
      </c>
      <c r="E91" s="171"/>
      <c r="F91" s="171"/>
    </row>
    <row r="92" spans="2:6" ht="32.25" thickBot="1" x14ac:dyDescent="0.3">
      <c r="B92" s="169">
        <v>88</v>
      </c>
      <c r="C92" s="170" t="s">
        <v>336</v>
      </c>
      <c r="D92" s="170">
        <v>10</v>
      </c>
      <c r="E92" s="171"/>
      <c r="F92" s="171"/>
    </row>
    <row r="93" spans="2:6" ht="16.5" thickBot="1" x14ac:dyDescent="0.3">
      <c r="B93" s="169">
        <v>89</v>
      </c>
      <c r="C93" s="170" t="s">
        <v>337</v>
      </c>
      <c r="D93" s="170">
        <v>10</v>
      </c>
      <c r="E93" s="171"/>
      <c r="F93" s="171"/>
    </row>
    <row r="94" spans="2:6" ht="16.5" thickBot="1" x14ac:dyDescent="0.3">
      <c r="B94" s="169">
        <v>90</v>
      </c>
      <c r="C94" s="170" t="s">
        <v>338</v>
      </c>
      <c r="D94" s="170">
        <v>10</v>
      </c>
      <c r="E94" s="171"/>
      <c r="F94" s="171"/>
    </row>
    <row r="95" spans="2:6" ht="32.25" thickBot="1" x14ac:dyDescent="0.3">
      <c r="B95" s="169">
        <v>91</v>
      </c>
      <c r="C95" s="170" t="s">
        <v>339</v>
      </c>
      <c r="D95" s="170">
        <v>1</v>
      </c>
      <c r="E95" s="171"/>
      <c r="F95" s="171"/>
    </row>
    <row r="96" spans="2:6" ht="16.5" thickBot="1" x14ac:dyDescent="0.3">
      <c r="B96" s="169">
        <v>92</v>
      </c>
      <c r="C96" s="170" t="s">
        <v>340</v>
      </c>
      <c r="D96" s="170">
        <v>1</v>
      </c>
      <c r="E96" s="171"/>
      <c r="F96" s="171"/>
    </row>
    <row r="97" spans="2:6" ht="48" thickBot="1" x14ac:dyDescent="0.3">
      <c r="B97" s="169">
        <v>93</v>
      </c>
      <c r="C97" s="170" t="s">
        <v>341</v>
      </c>
      <c r="D97" s="170">
        <v>1</v>
      </c>
      <c r="E97" s="171"/>
      <c r="F97" s="171"/>
    </row>
    <row r="98" spans="2:6" ht="16.5" thickBot="1" x14ac:dyDescent="0.3">
      <c r="B98" s="169">
        <v>94</v>
      </c>
      <c r="C98" s="170" t="s">
        <v>342</v>
      </c>
      <c r="D98" s="170">
        <v>10</v>
      </c>
      <c r="E98" s="171"/>
      <c r="F98" s="171"/>
    </row>
    <row r="99" spans="2:6" ht="16.5" thickBot="1" x14ac:dyDescent="0.3">
      <c r="B99" s="169">
        <v>95</v>
      </c>
      <c r="C99" s="170" t="s">
        <v>343</v>
      </c>
      <c r="D99" s="170">
        <v>10</v>
      </c>
      <c r="E99" s="171"/>
      <c r="F99" s="171"/>
    </row>
    <row r="100" spans="2:6" ht="16.5" thickBot="1" x14ac:dyDescent="0.3">
      <c r="B100" s="173"/>
      <c r="C100" s="174" t="s">
        <v>344</v>
      </c>
      <c r="D100" s="170"/>
      <c r="E100" s="172"/>
      <c r="F100" s="172"/>
    </row>
  </sheetData>
  <mergeCells count="2">
    <mergeCell ref="C3:C4"/>
    <mergeCell ref="D3:D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topLeftCell="A22" workbookViewId="0">
      <selection activeCell="D18" sqref="D18"/>
    </sheetView>
  </sheetViews>
  <sheetFormatPr defaultRowHeight="15" x14ac:dyDescent="0.25"/>
  <cols>
    <col min="3" max="3" width="16.28515625" customWidth="1"/>
  </cols>
  <sheetData>
    <row r="2" spans="2:8" ht="15.75" thickBot="1" x14ac:dyDescent="0.3"/>
    <row r="3" spans="2:8" ht="15.75" x14ac:dyDescent="0.25">
      <c r="B3" s="175" t="s">
        <v>243</v>
      </c>
      <c r="C3" s="922" t="s">
        <v>345</v>
      </c>
      <c r="D3" s="177" t="s">
        <v>346</v>
      </c>
      <c r="E3" s="922" t="s">
        <v>347</v>
      </c>
      <c r="F3" s="922" t="s">
        <v>348</v>
      </c>
      <c r="G3" s="922" t="s">
        <v>349</v>
      </c>
      <c r="H3" s="922" t="s">
        <v>350</v>
      </c>
    </row>
    <row r="4" spans="2:8" ht="16.5" thickBot="1" x14ac:dyDescent="0.3">
      <c r="B4" s="176" t="s">
        <v>5</v>
      </c>
      <c r="C4" s="924"/>
      <c r="D4" s="178" t="s">
        <v>239</v>
      </c>
      <c r="E4" s="924"/>
      <c r="F4" s="924"/>
      <c r="G4" s="924"/>
      <c r="H4" s="924"/>
    </row>
    <row r="5" spans="2:8" ht="32.25" thickBot="1" x14ac:dyDescent="0.3">
      <c r="B5" s="176">
        <v>1</v>
      </c>
      <c r="C5" s="179" t="s">
        <v>351</v>
      </c>
      <c r="D5" s="178">
        <v>10</v>
      </c>
      <c r="E5" s="178" t="s">
        <v>352</v>
      </c>
      <c r="F5" s="178" t="s">
        <v>353</v>
      </c>
      <c r="G5" s="178" t="s">
        <v>354</v>
      </c>
      <c r="H5" s="179" t="s">
        <v>355</v>
      </c>
    </row>
    <row r="6" spans="2:8" ht="32.25" thickBot="1" x14ac:dyDescent="0.3">
      <c r="B6" s="176">
        <v>2</v>
      </c>
      <c r="C6" s="179" t="s">
        <v>351</v>
      </c>
      <c r="D6" s="178">
        <v>10</v>
      </c>
      <c r="E6" s="178" t="s">
        <v>356</v>
      </c>
      <c r="F6" s="178" t="s">
        <v>353</v>
      </c>
      <c r="G6" s="178" t="s">
        <v>354</v>
      </c>
      <c r="H6" s="179" t="s">
        <v>355</v>
      </c>
    </row>
    <row r="7" spans="2:8" ht="32.25" thickBot="1" x14ac:dyDescent="0.3">
      <c r="B7" s="176">
        <v>3</v>
      </c>
      <c r="C7" s="179" t="s">
        <v>351</v>
      </c>
      <c r="D7" s="178">
        <v>10</v>
      </c>
      <c r="E7" s="178" t="s">
        <v>352</v>
      </c>
      <c r="F7" s="178" t="s">
        <v>353</v>
      </c>
      <c r="G7" s="178" t="s">
        <v>354</v>
      </c>
      <c r="H7" s="179" t="s">
        <v>357</v>
      </c>
    </row>
    <row r="8" spans="2:8" ht="32.25" thickBot="1" x14ac:dyDescent="0.3">
      <c r="B8" s="176">
        <v>5</v>
      </c>
      <c r="C8" s="179" t="s">
        <v>351</v>
      </c>
      <c r="D8" s="178">
        <v>20</v>
      </c>
      <c r="E8" s="178" t="s">
        <v>358</v>
      </c>
      <c r="F8" s="178" t="s">
        <v>353</v>
      </c>
      <c r="G8" s="178" t="s">
        <v>354</v>
      </c>
      <c r="H8" s="179" t="s">
        <v>359</v>
      </c>
    </row>
    <row r="9" spans="2:8" ht="32.25" thickBot="1" x14ac:dyDescent="0.3">
      <c r="B9" s="176">
        <v>6</v>
      </c>
      <c r="C9" s="179" t="s">
        <v>351</v>
      </c>
      <c r="D9" s="178">
        <v>20</v>
      </c>
      <c r="E9" s="178" t="s">
        <v>360</v>
      </c>
      <c r="F9" s="178" t="s">
        <v>353</v>
      </c>
      <c r="G9" s="178" t="s">
        <v>354</v>
      </c>
      <c r="H9" s="179" t="s">
        <v>359</v>
      </c>
    </row>
    <row r="10" spans="2:8" ht="32.25" thickBot="1" x14ac:dyDescent="0.3">
      <c r="B10" s="176">
        <v>7</v>
      </c>
      <c r="C10" s="179" t="s">
        <v>351</v>
      </c>
      <c r="D10" s="178">
        <v>20</v>
      </c>
      <c r="E10" s="178" t="s">
        <v>361</v>
      </c>
      <c r="F10" s="178" t="s">
        <v>353</v>
      </c>
      <c r="G10" s="178" t="s">
        <v>354</v>
      </c>
      <c r="H10" s="179" t="s">
        <v>359</v>
      </c>
    </row>
    <row r="11" spans="2:8" ht="32.25" thickBot="1" x14ac:dyDescent="0.3">
      <c r="B11" s="176">
        <v>8</v>
      </c>
      <c r="C11" s="179" t="s">
        <v>362</v>
      </c>
      <c r="D11" s="178">
        <v>3</v>
      </c>
      <c r="E11" s="178" t="s">
        <v>363</v>
      </c>
      <c r="F11" s="178" t="s">
        <v>363</v>
      </c>
      <c r="G11" s="178" t="s">
        <v>364</v>
      </c>
      <c r="H11" s="179" t="s">
        <v>365</v>
      </c>
    </row>
    <row r="12" spans="2:8" ht="63.75" thickBot="1" x14ac:dyDescent="0.3">
      <c r="B12" s="176">
        <v>9</v>
      </c>
      <c r="C12" s="179" t="s">
        <v>362</v>
      </c>
      <c r="D12" s="178">
        <v>3</v>
      </c>
      <c r="E12" s="178" t="s">
        <v>363</v>
      </c>
      <c r="F12" s="178" t="s">
        <v>363</v>
      </c>
      <c r="G12" s="178" t="s">
        <v>364</v>
      </c>
      <c r="H12" s="179" t="s">
        <v>366</v>
      </c>
    </row>
    <row r="13" spans="2:8" ht="79.5" thickBot="1" x14ac:dyDescent="0.3">
      <c r="B13" s="176">
        <v>10</v>
      </c>
      <c r="C13" s="179" t="s">
        <v>362</v>
      </c>
      <c r="D13" s="178">
        <v>3</v>
      </c>
      <c r="E13" s="178" t="s">
        <v>363</v>
      </c>
      <c r="F13" s="178" t="s">
        <v>363</v>
      </c>
      <c r="G13" s="178" t="s">
        <v>364</v>
      </c>
      <c r="H13" s="179" t="s">
        <v>367</v>
      </c>
    </row>
    <row r="14" spans="2:8" ht="48" thickBot="1" x14ac:dyDescent="0.3">
      <c r="B14" s="176">
        <v>11</v>
      </c>
      <c r="C14" s="179" t="s">
        <v>362</v>
      </c>
      <c r="D14" s="178">
        <v>3</v>
      </c>
      <c r="E14" s="178" t="s">
        <v>363</v>
      </c>
      <c r="F14" s="178" t="s">
        <v>363</v>
      </c>
      <c r="G14" s="178" t="s">
        <v>364</v>
      </c>
      <c r="H14" s="179" t="s">
        <v>368</v>
      </c>
    </row>
    <row r="15" spans="2:8" ht="48" thickBot="1" x14ac:dyDescent="0.3">
      <c r="B15" s="176">
        <v>12</v>
      </c>
      <c r="C15" s="179" t="s">
        <v>369</v>
      </c>
      <c r="D15" s="178">
        <v>20</v>
      </c>
      <c r="E15" s="178"/>
      <c r="F15" s="178"/>
      <c r="G15" s="178"/>
      <c r="H15" s="179" t="s">
        <v>370</v>
      </c>
    </row>
    <row r="16" spans="2:8" ht="48" thickBot="1" x14ac:dyDescent="0.3">
      <c r="B16" s="176">
        <v>13</v>
      </c>
      <c r="C16" s="179" t="s">
        <v>371</v>
      </c>
      <c r="D16" s="178">
        <v>1</v>
      </c>
      <c r="E16" s="178" t="s">
        <v>363</v>
      </c>
      <c r="F16" s="178" t="s">
        <v>363</v>
      </c>
      <c r="G16" s="178" t="s">
        <v>372</v>
      </c>
      <c r="H16" s="179" t="s">
        <v>373</v>
      </c>
    </row>
    <row r="17" spans="2:8" ht="48" thickBot="1" x14ac:dyDescent="0.3">
      <c r="B17" s="176">
        <v>14</v>
      </c>
      <c r="C17" s="179" t="s">
        <v>371</v>
      </c>
      <c r="D17" s="178">
        <v>1</v>
      </c>
      <c r="E17" s="178" t="s">
        <v>363</v>
      </c>
      <c r="F17" s="178" t="s">
        <v>363</v>
      </c>
      <c r="G17" s="178" t="s">
        <v>374</v>
      </c>
      <c r="H17" s="179" t="s">
        <v>373</v>
      </c>
    </row>
    <row r="18" spans="2:8" ht="48" thickBot="1" x14ac:dyDescent="0.3">
      <c r="B18" s="176">
        <v>15</v>
      </c>
      <c r="C18" s="179" t="s">
        <v>375</v>
      </c>
      <c r="D18" s="178">
        <v>20</v>
      </c>
      <c r="E18" s="178" t="s">
        <v>363</v>
      </c>
      <c r="F18" s="178" t="s">
        <v>363</v>
      </c>
      <c r="G18" s="178" t="s">
        <v>363</v>
      </c>
      <c r="H18" s="179" t="s">
        <v>370</v>
      </c>
    </row>
    <row r="19" spans="2:8" ht="48" thickBot="1" x14ac:dyDescent="0.3">
      <c r="B19" s="176">
        <v>16</v>
      </c>
      <c r="C19" s="179" t="s">
        <v>376</v>
      </c>
      <c r="D19" s="178">
        <v>10</v>
      </c>
      <c r="E19" s="178" t="s">
        <v>352</v>
      </c>
      <c r="F19" s="178" t="s">
        <v>363</v>
      </c>
      <c r="G19" s="178" t="s">
        <v>363</v>
      </c>
      <c r="H19" s="179" t="s">
        <v>370</v>
      </c>
    </row>
    <row r="20" spans="2:8" ht="48" thickBot="1" x14ac:dyDescent="0.3">
      <c r="B20" s="176">
        <v>17</v>
      </c>
      <c r="C20" s="179" t="s">
        <v>376</v>
      </c>
      <c r="D20" s="178">
        <v>10</v>
      </c>
      <c r="E20" s="178" t="s">
        <v>358</v>
      </c>
      <c r="F20" s="178" t="s">
        <v>363</v>
      </c>
      <c r="G20" s="178" t="s">
        <v>363</v>
      </c>
      <c r="H20" s="179" t="s">
        <v>370</v>
      </c>
    </row>
    <row r="21" spans="2:8" ht="48" thickBot="1" x14ac:dyDescent="0.3">
      <c r="B21" s="176">
        <v>18</v>
      </c>
      <c r="C21" s="179" t="s">
        <v>376</v>
      </c>
      <c r="D21" s="178">
        <v>10</v>
      </c>
      <c r="E21" s="178" t="s">
        <v>360</v>
      </c>
      <c r="F21" s="178" t="s">
        <v>363</v>
      </c>
      <c r="G21" s="178" t="s">
        <v>363</v>
      </c>
      <c r="H21" s="179" t="s">
        <v>370</v>
      </c>
    </row>
    <row r="22" spans="2:8" ht="48" thickBot="1" x14ac:dyDescent="0.3">
      <c r="B22" s="176">
        <v>19</v>
      </c>
      <c r="C22" s="179" t="s">
        <v>376</v>
      </c>
      <c r="D22" s="178">
        <v>10</v>
      </c>
      <c r="E22" s="178" t="s">
        <v>361</v>
      </c>
      <c r="F22" s="178" t="s">
        <v>363</v>
      </c>
      <c r="G22" s="178" t="s">
        <v>363</v>
      </c>
      <c r="H22" s="179" t="s">
        <v>370</v>
      </c>
    </row>
    <row r="23" spans="2:8" ht="48" thickBot="1" x14ac:dyDescent="0.3">
      <c r="B23" s="176">
        <v>20</v>
      </c>
      <c r="C23" s="179" t="s">
        <v>377</v>
      </c>
      <c r="D23" s="178">
        <v>50</v>
      </c>
      <c r="E23" s="178"/>
      <c r="F23" s="178"/>
      <c r="G23" s="178"/>
      <c r="H23" s="179" t="s">
        <v>370</v>
      </c>
    </row>
    <row r="24" spans="2:8" ht="48" thickBot="1" x14ac:dyDescent="0.3">
      <c r="B24" s="176">
        <v>21</v>
      </c>
      <c r="C24" s="179" t="s">
        <v>378</v>
      </c>
      <c r="D24" s="178">
        <v>30</v>
      </c>
      <c r="E24" s="178"/>
      <c r="F24" s="178"/>
      <c r="G24" s="178"/>
      <c r="H24" s="179" t="s">
        <v>370</v>
      </c>
    </row>
    <row r="25" spans="2:8" ht="48" thickBot="1" x14ac:dyDescent="0.3">
      <c r="B25" s="176">
        <v>22</v>
      </c>
      <c r="C25" s="179" t="s">
        <v>379</v>
      </c>
      <c r="D25" s="178">
        <v>20</v>
      </c>
      <c r="E25" s="178"/>
      <c r="F25" s="178"/>
      <c r="G25" s="178"/>
      <c r="H25" s="179" t="s">
        <v>370</v>
      </c>
    </row>
  </sheetData>
  <mergeCells count="5">
    <mergeCell ref="C3:C4"/>
    <mergeCell ref="E3:E4"/>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vt:i4>
      </vt:variant>
    </vt:vector>
  </HeadingPairs>
  <TitlesOfParts>
    <vt:vector size="15" baseType="lpstr">
      <vt:lpstr>тит</vt:lpstr>
      <vt:lpstr>раздел 1</vt:lpstr>
      <vt:lpstr>раздел 2</vt:lpstr>
      <vt:lpstr>Лист4</vt:lpstr>
      <vt:lpstr>Лист7</vt:lpstr>
      <vt:lpstr>Лист6</vt:lpstr>
      <vt:lpstr>Лист2</vt:lpstr>
      <vt:lpstr>Лист3</vt:lpstr>
      <vt:lpstr>Лист5</vt:lpstr>
      <vt:lpstr>шт</vt:lpstr>
      <vt:lpstr>Лист1</vt:lpstr>
      <vt:lpstr>Лист1!Область_печати</vt:lpstr>
      <vt:lpstr>Лист4!Область_печати</vt:lpstr>
      <vt:lpstr>'раздел 1'!Область_печати</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2020-12-03T04:13:12Z</dcterms:modified>
</cp:coreProperties>
</file>